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3A4ED6C6-E7CA-4478-B794-E9EF4ABB4C13}" xr6:coauthVersionLast="47" xr6:coauthVersionMax="47" xr10:uidLastSave="{00000000-0000-0000-0000-000000000000}"/>
  <bookViews>
    <workbookView xWindow="30612" yWindow="-108" windowWidth="30936" windowHeight="17496" xr2:uid="{686E1954-00DF-41FC-A65E-77996D3519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3" i="1" l="1"/>
  <c r="B75" i="1"/>
  <c r="B74" i="1"/>
  <c r="D45" i="1"/>
  <c r="A39" i="1"/>
  <c r="A40" i="1" s="1"/>
  <c r="A41" i="1" s="1"/>
  <c r="A27" i="1"/>
  <c r="A28" i="1" s="1"/>
  <c r="A29" i="1" s="1"/>
  <c r="A30" i="1" s="1"/>
  <c r="A31" i="1" s="1"/>
  <c r="A22" i="1"/>
  <c r="E26" i="1" s="1"/>
  <c r="A23" i="1"/>
  <c r="G26" i="1" s="1"/>
  <c r="C44" i="1" l="1"/>
  <c r="D46" i="1"/>
  <c r="D47" i="1" s="1"/>
  <c r="D48" i="1" s="1"/>
  <c r="C26" i="1"/>
  <c r="G27" i="1"/>
  <c r="F27" i="1"/>
  <c r="E27" i="1"/>
  <c r="D27" i="1"/>
  <c r="I26" i="1"/>
  <c r="H27" i="1" s="1"/>
  <c r="D49" i="1" l="1"/>
  <c r="B27" i="1"/>
  <c r="C27" i="1"/>
  <c r="I27" i="1"/>
  <c r="D28" i="1"/>
  <c r="E28" i="1"/>
  <c r="G28" i="1"/>
  <c r="F28" i="1"/>
  <c r="D50" i="1" l="1"/>
  <c r="C28" i="1"/>
  <c r="B28" i="1"/>
  <c r="G29" i="1"/>
  <c r="F29" i="1"/>
  <c r="I28" i="1"/>
  <c r="H28" i="1"/>
  <c r="E29" i="1"/>
  <c r="D29" i="1"/>
  <c r="D51" i="1" l="1"/>
  <c r="C29" i="1"/>
  <c r="B29" i="1"/>
  <c r="D30" i="1"/>
  <c r="E30" i="1"/>
  <c r="H29" i="1"/>
  <c r="I29" i="1"/>
  <c r="G30" i="1"/>
  <c r="F30" i="1"/>
  <c r="D52" i="1" l="1"/>
  <c r="B30" i="1"/>
  <c r="C30" i="1"/>
  <c r="G31" i="1"/>
  <c r="F31" i="1"/>
  <c r="I30" i="1"/>
  <c r="H30" i="1"/>
  <c r="E31" i="1"/>
  <c r="D31" i="1"/>
  <c r="C31" i="1" l="1"/>
  <c r="B31" i="1"/>
  <c r="C133" i="1" s="1"/>
  <c r="H31" i="1"/>
  <c r="I31" i="1"/>
  <c r="C79" i="1" l="1"/>
  <c r="C115" i="1"/>
  <c r="C97" i="1"/>
  <c r="C61" i="1"/>
  <c r="A32" i="1"/>
  <c r="A33" i="1" s="1"/>
  <c r="B153" i="1" s="1"/>
  <c r="B61" i="1" l="1"/>
  <c r="G69" i="1" s="1"/>
  <c r="A38" i="1"/>
  <c r="B44" i="1" s="1"/>
  <c r="A34" i="1"/>
  <c r="C77" i="1" l="1"/>
  <c r="B93" i="1" s="1"/>
  <c r="C161" i="1"/>
  <c r="G64" i="1"/>
  <c r="G61" i="1"/>
  <c r="G49" i="1"/>
  <c r="G44" i="1"/>
  <c r="G48" i="1"/>
  <c r="G50" i="1"/>
  <c r="G47" i="1"/>
  <c r="G46" i="1"/>
  <c r="G45" i="1"/>
  <c r="G51" i="1"/>
  <c r="G52" i="1"/>
  <c r="G63" i="1"/>
  <c r="G62" i="1"/>
  <c r="G67" i="1"/>
  <c r="G65" i="1"/>
  <c r="E68" i="1"/>
  <c r="G68" i="1"/>
  <c r="G66" i="1"/>
  <c r="E67" i="1"/>
  <c r="E61" i="1"/>
  <c r="E49" i="1"/>
  <c r="E45" i="1"/>
  <c r="E50" i="1"/>
  <c r="E51" i="1"/>
  <c r="E48" i="1"/>
  <c r="E44" i="1"/>
  <c r="E52" i="1"/>
  <c r="E46" i="1"/>
  <c r="E47" i="1"/>
  <c r="E66" i="1"/>
  <c r="E62" i="1"/>
  <c r="E64" i="1"/>
  <c r="E65" i="1"/>
  <c r="E63" i="1"/>
  <c r="E69" i="1"/>
  <c r="B92" i="1" l="1"/>
  <c r="B91" i="1"/>
  <c r="B79" i="1"/>
  <c r="G85" i="1" s="1"/>
  <c r="C95" i="1"/>
  <c r="B109" i="1" s="1"/>
  <c r="C162" i="1"/>
  <c r="E71" i="1"/>
  <c r="G87" i="1"/>
  <c r="G80" i="1"/>
  <c r="E84" i="1"/>
  <c r="G81" i="1"/>
  <c r="E86" i="1"/>
  <c r="G79" i="1"/>
  <c r="E83" i="1"/>
  <c r="G83" i="1"/>
  <c r="G82" i="1"/>
  <c r="G84" i="1"/>
  <c r="E53" i="1"/>
  <c r="E54" i="1"/>
  <c r="E70" i="1"/>
  <c r="A55" i="1" l="1"/>
  <c r="E85" i="1"/>
  <c r="G86" i="1"/>
  <c r="E82" i="1"/>
  <c r="E79" i="1"/>
  <c r="E87" i="1"/>
  <c r="E80" i="1"/>
  <c r="E81" i="1"/>
  <c r="B110" i="1"/>
  <c r="B111" i="1"/>
  <c r="B97" i="1"/>
  <c r="E103" i="1" s="1"/>
  <c r="C113" i="1"/>
  <c r="C131" i="1" s="1"/>
  <c r="E89" i="1"/>
  <c r="C163" i="1"/>
  <c r="E157" i="1"/>
  <c r="C72" i="1"/>
  <c r="C73" i="1" s="1"/>
  <c r="D160" i="1" s="1"/>
  <c r="B127" i="1" l="1"/>
  <c r="B129" i="1"/>
  <c r="B128" i="1"/>
  <c r="E88" i="1"/>
  <c r="B115" i="1"/>
  <c r="E115" i="1" s="1"/>
  <c r="C90" i="1"/>
  <c r="C91" i="1" s="1"/>
  <c r="D161" i="1" s="1"/>
  <c r="G97" i="1"/>
  <c r="E105" i="1"/>
  <c r="E101" i="1"/>
  <c r="G104" i="1"/>
  <c r="G99" i="1"/>
  <c r="E99" i="1"/>
  <c r="G103" i="1"/>
  <c r="G100" i="1"/>
  <c r="E102" i="1"/>
  <c r="G105" i="1"/>
  <c r="E104" i="1"/>
  <c r="E100" i="1"/>
  <c r="G98" i="1"/>
  <c r="E97" i="1"/>
  <c r="E98" i="1"/>
  <c r="G101" i="1"/>
  <c r="G102" i="1"/>
  <c r="C92" i="1"/>
  <c r="E161" i="1" s="1"/>
  <c r="C93" i="1"/>
  <c r="F161" i="1" s="1"/>
  <c r="C164" i="1"/>
  <c r="C74" i="1"/>
  <c r="E160" i="1" s="1"/>
  <c r="G119" i="1"/>
  <c r="G118" i="1"/>
  <c r="E117" i="1"/>
  <c r="G123" i="1"/>
  <c r="G116" i="1"/>
  <c r="C75" i="1"/>
  <c r="F160" i="1" s="1"/>
  <c r="B133" i="1"/>
  <c r="B146" i="1"/>
  <c r="B145" i="1"/>
  <c r="B147" i="1"/>
  <c r="E121" i="1" l="1"/>
  <c r="E123" i="1"/>
  <c r="E119" i="1"/>
  <c r="G121" i="1"/>
  <c r="E122" i="1"/>
  <c r="E116" i="1"/>
  <c r="G120" i="1"/>
  <c r="E106" i="1"/>
  <c r="E118" i="1"/>
  <c r="G115" i="1"/>
  <c r="G117" i="1"/>
  <c r="G122" i="1"/>
  <c r="E120" i="1"/>
  <c r="E107" i="1"/>
  <c r="C108" i="1" s="1"/>
  <c r="E124" i="1"/>
  <c r="G133" i="1"/>
  <c r="G137" i="1"/>
  <c r="G136" i="1"/>
  <c r="E134" i="1"/>
  <c r="E138" i="1"/>
  <c r="G138" i="1"/>
  <c r="E133" i="1"/>
  <c r="E141" i="1"/>
  <c r="E135" i="1"/>
  <c r="G141" i="1"/>
  <c r="E140" i="1"/>
  <c r="E137" i="1"/>
  <c r="G140" i="1"/>
  <c r="E136" i="1"/>
  <c r="G135" i="1"/>
  <c r="G134" i="1"/>
  <c r="E139" i="1"/>
  <c r="G139" i="1"/>
  <c r="E125" i="1" l="1"/>
  <c r="C126" i="1"/>
  <c r="C109" i="1"/>
  <c r="D162" i="1" s="1"/>
  <c r="C111" i="1"/>
  <c r="F162" i="1" s="1"/>
  <c r="C110" i="1"/>
  <c r="E162" i="1" s="1"/>
  <c r="E143" i="1"/>
  <c r="E142" i="1"/>
  <c r="C127" i="1"/>
  <c r="D163" i="1" s="1"/>
  <c r="C129" i="1"/>
  <c r="F163" i="1" s="1"/>
  <c r="C128" i="1"/>
  <c r="E163" i="1" s="1"/>
  <c r="C144" i="1" l="1"/>
  <c r="C145" i="1" s="1"/>
  <c r="D164" i="1" s="1"/>
  <c r="C147" i="1"/>
  <c r="F164" i="1" s="1"/>
  <c r="C146" i="1" l="1"/>
  <c r="E164" i="1" s="1"/>
</calcChain>
</file>

<file path=xl/sharedStrings.xml><?xml version="1.0" encoding="utf-8"?>
<sst xmlns="http://schemas.openxmlformats.org/spreadsheetml/2006/main" count="149" uniqueCount="98">
  <si>
    <t>Elliptic Filter Design from Specifications</t>
  </si>
  <si>
    <t>alpha_o, a reference level expressed in dB, typically 0dB</t>
  </si>
  <si>
    <t>alpha_max, max allowed passband gain deviation expressed in dB, see pg 180 (ripple amplitude in dB)</t>
  </si>
  <si>
    <t>alpha_min, maximum stopband gain expressed in dB, see pg 180 (min stopband attenuation in dB)</t>
  </si>
  <si>
    <t xml:space="preserve">OMEGA_c, normalized cutoff frequency, equal to 1 </t>
  </si>
  <si>
    <t>OMEGA_s, normalized stopband edge frequency = W_s/W_c</t>
  </si>
  <si>
    <t>Methodology from "Analog Electronic Filters - Theory Design and Synthesis" (2012) by H.G.Dimopolous, Springer, New York ISBN 978-94-007-2189-0, Chapter 4: The Elliptic (Cauer) Approximation</t>
  </si>
  <si>
    <t>Variable definitions:</t>
  </si>
  <si>
    <t>W_o, the cutoff frequency in rad/sec</t>
  </si>
  <si>
    <t>W_s, the stopband edge frequency in rad/sec</t>
  </si>
  <si>
    <t>OMEGA_o, normalized frequency of a filter pole</t>
  </si>
  <si>
    <t xml:space="preserve">OMEGA_zr, normalized frequency of an ERF zero, also a root of the Elliptical Rational Function (ERF) </t>
  </si>
  <si>
    <t>Q_o, Q value of a filter pole</t>
  </si>
  <si>
    <t>N, the order required to meet the specifications, where N &gt;= N_d (N is a whole number &gt; 1)</t>
  </si>
  <si>
    <t>M(x, y), the arithmetic-geometric mean of x and y, see EQ 4.3 pg 170</t>
  </si>
  <si>
    <t>theta_0h, theta_1h, hyperbolic Jacobi theta functions, see EQ 4.85 and 4.86</t>
  </si>
  <si>
    <t>q(x), Jacobi Nome, see EQ 4.7 and 4.8 on pg 171</t>
  </si>
  <si>
    <t>NOTE: see Fig 4.11 on pg 182 for an illustration of the normalized elliptical filter specification</t>
  </si>
  <si>
    <t xml:space="preserve">   in terms of OMEGA_s, alpha_max, and alpha_min.</t>
  </si>
  <si>
    <t>Given:</t>
  </si>
  <si>
    <t>OMEGA_s, the normalized stopband frequency</t>
  </si>
  <si>
    <t>alpha_o, reference level H_o expressed in dB, typically 0dB</t>
  </si>
  <si>
    <t>alpha_max, minimum passband gain expressed in dB as defined on pg 180</t>
  </si>
  <si>
    <t>alpha_min, the maximum allowed stopband gain in dB (see pg 180)</t>
  </si>
  <si>
    <t>Step 1: calculate the required order, N</t>
  </si>
  <si>
    <t>calculate k using EQ 4.48 pg 182</t>
  </si>
  <si>
    <t>calculate g using EQ 4.48 pg 182</t>
  </si>
  <si>
    <t>calculate AGMs see pg 170:</t>
  </si>
  <si>
    <t xml:space="preserve">   calculate M(1,k) </t>
  </si>
  <si>
    <t xml:space="preserve">   calculate M(1, (1-k^2)^0.5 )</t>
  </si>
  <si>
    <t xml:space="preserve">   calculate M(1,g)</t>
  </si>
  <si>
    <t xml:space="preserve">   calculate M(1, (1-g^2)^0.5 )</t>
  </si>
  <si>
    <t>calculate N_d and N using EQ 4.49 pg 182</t>
  </si>
  <si>
    <t>calculate LAMBDA using EQ 4.82 pg 192</t>
  </si>
  <si>
    <t>calculate q(1/OMEGA_s) using EQ 4.8 plus extra term pg 171</t>
  </si>
  <si>
    <t>calculate sigma using EQ 4.84 pg 192</t>
  </si>
  <si>
    <t xml:space="preserve">calculate OMEGA_zr using EQ 4.34 pg 178 and theta_0 and theta_1 functions pg 171 </t>
  </si>
  <si>
    <t>calculate OMEGA_o(m) using EQ 4.87 pg 193</t>
  </si>
  <si>
    <t>calculate Q_o using EQ 4.88 or 4.89 pg 193</t>
  </si>
  <si>
    <t>if order is odd, calculate OMEGA_r using EQ 4.91 pg 193</t>
  </si>
  <si>
    <t xml:space="preserve"> </t>
  </si>
  <si>
    <t>k</t>
  </si>
  <si>
    <t>g</t>
  </si>
  <si>
    <t>AM</t>
  </si>
  <si>
    <t>GM</t>
  </si>
  <si>
    <t>M(1,k)</t>
  </si>
  <si>
    <t>M(1, (1-k^2)^0.5 )</t>
  </si>
  <si>
    <t>M(1,g)</t>
  </si>
  <si>
    <t>M(1, (1-g^2)^0.5 )</t>
  </si>
  <si>
    <t>AGM iter</t>
  </si>
  <si>
    <t>N_d</t>
  </si>
  <si>
    <t>N</t>
  </si>
  <si>
    <t>calculate theta_0h and theta_1h pg 192</t>
  </si>
  <si>
    <t>LAMBDA</t>
  </si>
  <si>
    <t>theta_0h</t>
  </si>
  <si>
    <t>theta_1h</t>
  </si>
  <si>
    <t>alpha</t>
  </si>
  <si>
    <t>1/OMEGA_s</t>
  </si>
  <si>
    <t>term</t>
  </si>
  <si>
    <t>compute hyperbolic Jacobian theta functions theta_0h and theta_1h</t>
  </si>
  <si>
    <t>sigma</t>
  </si>
  <si>
    <t>theta_0</t>
  </si>
  <si>
    <t>theta_1</t>
  </si>
  <si>
    <t>OMEGA_zr</t>
  </si>
  <si>
    <t xml:space="preserve">POLE = </t>
  </si>
  <si>
    <t xml:space="preserve">theta_0 = </t>
  </si>
  <si>
    <t xml:space="preserve">theta_1 = </t>
  </si>
  <si>
    <t>1st arg z</t>
  </si>
  <si>
    <t>2nd arg y</t>
  </si>
  <si>
    <t xml:space="preserve">theta_0h = </t>
  </si>
  <si>
    <t xml:space="preserve">theta_1h = </t>
  </si>
  <si>
    <t>q(1/OMEGA_s)</t>
  </si>
  <si>
    <t>Stage</t>
  </si>
  <si>
    <t>Ωp</t>
  </si>
  <si>
    <t>Ωz</t>
  </si>
  <si>
    <t>Qp</t>
  </si>
  <si>
    <t>FIRST ORDER STAGE:</t>
  </si>
  <si>
    <t>REAL POLE Ωp =</t>
  </si>
  <si>
    <t>Compute poles and zero frequencies and pole Q for complex poles, one at a time</t>
  </si>
  <si>
    <t>m_max (number of second order stages in filter)</t>
  </si>
  <si>
    <t>Calculate Required Order, N</t>
  </si>
  <si>
    <t>Calculate some intermediate quantities</t>
  </si>
  <si>
    <t>Step 3: calculate the pole and zero frequencies and Q values for each filter stage</t>
  </si>
  <si>
    <t>Step 2: calculate intermediate quantities</t>
  </si>
  <si>
    <t xml:space="preserve">     OMEGA_s</t>
  </si>
  <si>
    <t xml:space="preserve">     alpha_max</t>
  </si>
  <si>
    <t xml:space="preserve">     alpha_min</t>
  </si>
  <si>
    <t>N_d, the exact decimal order required for the elliptic filter to meet the specifications given as :</t>
  </si>
  <si>
    <t>alpha_min, minimum stopband attenuation in dB</t>
  </si>
  <si>
    <t>SECOND ORDER LP-notch STAGES:</t>
  </si>
  <si>
    <t>Created By Charlie Laub, November 2022  &lt;&gt;  For details of the calculation, unhide rows 21-149</t>
  </si>
  <si>
    <t>OMEGA_s, normalized stopband edge frequency = Ws/Wc = Fs/Fc</t>
  </si>
  <si>
    <t>Filter Specifications - Enter values only in cells with bold, blue text:</t>
  </si>
  <si>
    <t>NOTES:</t>
  </si>
  <si>
    <t>This design spreadsheet is for lowpass elliptic filters up to order 11 only.</t>
  </si>
  <si>
    <t>To obtain the zero frequency Fz and the pole frequency Fp, multiply</t>
  </si>
  <si>
    <t>Ωz and Ωp from the table above by the desired corner frequency Fc.</t>
  </si>
  <si>
    <t>alpha_max, ripple amplitude in dB (value must be &gt; 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</si>
</sst>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FF"/>
      <name val="Calibri"/>
      <family val="2"/>
      <scheme val="minor"/>
    </font>
    <font>
      <b/>
      <sz val="20"/>
      <color theme="1"/>
      <name val="Arial"/>
      <family val="2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2DDF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theme="0" tint="-0.24994659260841701"/>
      </left>
      <right style="thick">
        <color theme="0" tint="-0.24994659260841701"/>
      </right>
      <top style="thick">
        <color theme="0" tint="-0.24994659260841701"/>
      </top>
      <bottom style="thick">
        <color theme="0" tint="-0.24994659260841701"/>
      </bottom>
      <diagonal/>
    </border>
    <border>
      <left/>
      <right style="thick">
        <color theme="1"/>
      </right>
      <top/>
      <bottom/>
      <diagonal/>
    </border>
    <border>
      <left/>
      <right style="thick">
        <color theme="0" tint="-0.24994659260841701"/>
      </right>
      <top style="thick">
        <color theme="0" tint="-0.24994659260841701"/>
      </top>
      <bottom style="thick">
        <color theme="0" tint="-0.2499465926084170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theme="0" tint="-0.24994659260841701"/>
      </right>
      <top/>
      <bottom style="thick">
        <color theme="0" tint="-0.24994659260841701"/>
      </bottom>
      <diagonal/>
    </border>
    <border>
      <left style="thick">
        <color theme="0" tint="-0.24994659260841701"/>
      </left>
      <right style="thick">
        <color theme="0" tint="-0.24994659260841701"/>
      </right>
      <top/>
      <bottom style="thick">
        <color theme="0" tint="-0.2499465926084170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 indent="1"/>
    </xf>
    <xf numFmtId="164" fontId="0" fillId="0" borderId="0" xfId="0" applyNumberForma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0" xfId="0" applyFill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4" fillId="0" borderId="0" xfId="0" applyFont="1" applyAlignment="1">
      <alignment vertic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9" xfId="0" applyBorder="1"/>
    <xf numFmtId="0" fontId="5" fillId="0" borderId="0" xfId="0" applyFont="1"/>
    <xf numFmtId="0" fontId="0" fillId="0" borderId="0" xfId="0" applyAlignment="1">
      <alignment horizontal="left" indent="2"/>
    </xf>
    <xf numFmtId="0" fontId="0" fillId="0" borderId="0" xfId="0" applyAlignment="1">
      <alignment horizontal="left" indent="4"/>
    </xf>
    <xf numFmtId="0" fontId="0" fillId="3" borderId="0" xfId="0" applyFill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6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C2DDFE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68580</xdr:colOff>
      <xdr:row>2</xdr:row>
      <xdr:rowOff>99060</xdr:rowOff>
    </xdr:from>
    <xdr:to>
      <xdr:col>6</xdr:col>
      <xdr:colOff>601509</xdr:colOff>
      <xdr:row>14</xdr:row>
      <xdr:rowOff>49251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345DCB3-B377-45CE-8499-20E54AC6DE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8180" y="861060"/>
          <a:ext cx="3794289" cy="21447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B6754-5666-4C48-8A85-FB823E9A3FB9}">
  <dimension ref="A1:X171"/>
  <sheetViews>
    <sheetView tabSelected="1" workbookViewId="0">
      <selection activeCell="B19" sqref="B19"/>
    </sheetView>
  </sheetViews>
  <sheetFormatPr defaultRowHeight="14.4" x14ac:dyDescent="0.3"/>
  <cols>
    <col min="3" max="3" width="12" bestFit="1" customWidth="1"/>
  </cols>
  <sheetData>
    <row r="1" spans="1:9" ht="45" customHeight="1" x14ac:dyDescent="0.3">
      <c r="A1" s="24" t="s">
        <v>0</v>
      </c>
    </row>
    <row r="2" spans="1:9" ht="15" customHeight="1" x14ac:dyDescent="0.3">
      <c r="A2" s="43" t="s">
        <v>90</v>
      </c>
      <c r="B2" s="43"/>
      <c r="C2" s="43"/>
      <c r="D2" s="43"/>
      <c r="E2" s="43"/>
      <c r="F2" s="43"/>
      <c r="G2" s="43"/>
      <c r="H2" s="43"/>
      <c r="I2" s="43"/>
    </row>
    <row r="15" spans="1:9" x14ac:dyDescent="0.3">
      <c r="B15" s="1"/>
      <c r="C15" s="1"/>
      <c r="D15" s="1"/>
      <c r="E15" s="1"/>
      <c r="F15" s="1"/>
    </row>
    <row r="16" spans="1:9" ht="18" x14ac:dyDescent="0.35">
      <c r="A16" s="33" t="s">
        <v>92</v>
      </c>
      <c r="B16" s="1"/>
      <c r="C16" s="1"/>
      <c r="D16" s="1"/>
      <c r="E16" s="1"/>
      <c r="F16" s="1"/>
    </row>
    <row r="17" spans="1:24" x14ac:dyDescent="0.3">
      <c r="A17" s="11">
        <v>1.5</v>
      </c>
      <c r="B17" t="s">
        <v>91</v>
      </c>
    </row>
    <row r="18" spans="1:24" x14ac:dyDescent="0.3">
      <c r="A18" s="11">
        <v>0.2</v>
      </c>
      <c r="B18" t="s">
        <v>97</v>
      </c>
    </row>
    <row r="19" spans="1:24" x14ac:dyDescent="0.3">
      <c r="A19" s="11">
        <v>44</v>
      </c>
      <c r="B19" t="s">
        <v>88</v>
      </c>
    </row>
    <row r="21" spans="1:24" ht="15" hidden="1" thickBot="1" x14ac:dyDescent="0.35">
      <c r="A21" s="12" t="s">
        <v>80</v>
      </c>
      <c r="B21" s="12"/>
      <c r="C21" s="12"/>
      <c r="D21" s="12"/>
      <c r="E21" s="12"/>
      <c r="F21" s="12"/>
      <c r="G21" s="12"/>
      <c r="H21" s="12"/>
      <c r="I21" s="12"/>
      <c r="J21" s="14"/>
    </row>
    <row r="22" spans="1:24" hidden="1" x14ac:dyDescent="0.3">
      <c r="A22">
        <f>1/A17</f>
        <v>0.66666666666666663</v>
      </c>
      <c r="B22" t="s">
        <v>41</v>
      </c>
      <c r="M22" s="15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7"/>
    </row>
    <row r="23" spans="1:24" hidden="1" x14ac:dyDescent="0.3">
      <c r="A23">
        <f>((10^(0.1*A18)-1)/(10^(0.1*A19)-1))^0.5</f>
        <v>1.3697795400620201E-3</v>
      </c>
      <c r="B23" t="s">
        <v>42</v>
      </c>
      <c r="M23" s="18"/>
      <c r="N23" s="36" t="s">
        <v>6</v>
      </c>
      <c r="O23" s="36"/>
      <c r="P23" s="36"/>
      <c r="Q23" s="36"/>
      <c r="R23" s="36"/>
      <c r="S23" s="36"/>
      <c r="T23" s="36"/>
      <c r="U23" s="36"/>
      <c r="V23" s="36"/>
      <c r="W23" s="36"/>
      <c r="X23" s="19"/>
    </row>
    <row r="24" spans="1:24" hidden="1" x14ac:dyDescent="0.3">
      <c r="B24" t="s">
        <v>45</v>
      </c>
      <c r="D24" t="s">
        <v>46</v>
      </c>
      <c r="F24" t="s">
        <v>47</v>
      </c>
      <c r="H24" t="s">
        <v>48</v>
      </c>
      <c r="M24" s="18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19"/>
    </row>
    <row r="25" spans="1:24" hidden="1" x14ac:dyDescent="0.3">
      <c r="A25" t="s">
        <v>49</v>
      </c>
      <c r="B25" t="s">
        <v>43</v>
      </c>
      <c r="C25" t="s">
        <v>44</v>
      </c>
      <c r="D25" t="s">
        <v>43</v>
      </c>
      <c r="E25" t="s">
        <v>44</v>
      </c>
      <c r="F25" t="s">
        <v>43</v>
      </c>
      <c r="G25" t="s">
        <v>44</v>
      </c>
      <c r="H25" t="s">
        <v>43</v>
      </c>
      <c r="I25" t="s">
        <v>44</v>
      </c>
      <c r="M25" s="18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19"/>
    </row>
    <row r="26" spans="1:24" ht="15" hidden="1" thickBot="1" x14ac:dyDescent="0.35">
      <c r="A26">
        <v>0</v>
      </c>
      <c r="B26">
        <v>1</v>
      </c>
      <c r="C26">
        <f>A22</f>
        <v>0.66666666666666663</v>
      </c>
      <c r="D26">
        <v>1</v>
      </c>
      <c r="E26">
        <f>(1-A22^2)^0.5</f>
        <v>0.7453559924999299</v>
      </c>
      <c r="F26">
        <v>1</v>
      </c>
      <c r="G26">
        <f>A23</f>
        <v>1.3697795400620201E-3</v>
      </c>
      <c r="H26">
        <v>1</v>
      </c>
      <c r="I26">
        <f>(1-A23^2)^0.5</f>
        <v>0.99999906185156573</v>
      </c>
      <c r="M26" s="18"/>
      <c r="N26" s="22" t="s">
        <v>7</v>
      </c>
      <c r="O26" s="22"/>
      <c r="P26" s="22"/>
      <c r="Q26" s="20"/>
      <c r="R26" s="20"/>
      <c r="S26" s="20"/>
      <c r="T26" s="20"/>
      <c r="U26" s="20"/>
      <c r="V26" s="20"/>
      <c r="W26" s="20"/>
      <c r="X26" s="19"/>
    </row>
    <row r="27" spans="1:24" hidden="1" x14ac:dyDescent="0.3">
      <c r="A27">
        <f>A26+1</f>
        <v>1</v>
      </c>
      <c r="B27">
        <f>0.5*(B26+C26)</f>
        <v>0.83333333333333326</v>
      </c>
      <c r="C27">
        <f>(B26*C26)^0.5</f>
        <v>0.81649658092772603</v>
      </c>
      <c r="D27">
        <f>0.5*(D26+E26)</f>
        <v>0.87267799624996489</v>
      </c>
      <c r="E27">
        <f>(D26*E26)^0.5</f>
        <v>0.86334002137045052</v>
      </c>
      <c r="F27">
        <f>0.5*(F26+G26)</f>
        <v>0.50068488977003101</v>
      </c>
      <c r="G27">
        <f>(F26*G26)^0.5</f>
        <v>3.7010532825967529E-2</v>
      </c>
      <c r="H27">
        <f>0.5*(H26+I26)</f>
        <v>0.99999953092578286</v>
      </c>
      <c r="I27">
        <f>(H26*I26)^0.5</f>
        <v>0.99999953092567284</v>
      </c>
      <c r="M27" s="18"/>
      <c r="N27" s="20" t="s">
        <v>8</v>
      </c>
      <c r="O27" s="20"/>
      <c r="P27" s="20"/>
      <c r="Q27" s="20"/>
      <c r="R27" s="20"/>
      <c r="S27" s="20"/>
      <c r="T27" s="20"/>
      <c r="U27" s="20"/>
      <c r="V27" s="20"/>
      <c r="W27" s="20"/>
      <c r="X27" s="19"/>
    </row>
    <row r="28" spans="1:24" hidden="1" x14ac:dyDescent="0.3">
      <c r="A28">
        <f t="shared" ref="A28:A31" si="0">A27+1</f>
        <v>2</v>
      </c>
      <c r="B28">
        <f t="shared" ref="B28:B31" si="1">0.5*(B27+C27)</f>
        <v>0.82491495713052965</v>
      </c>
      <c r="C28">
        <f t="shared" ref="C28:C31" si="2">(B27*C27)^0.5</f>
        <v>0.82487200063996091</v>
      </c>
      <c r="D28">
        <f t="shared" ref="D28:D31" si="3">0.5*(D27+E27)</f>
        <v>0.86800900881020771</v>
      </c>
      <c r="E28">
        <f t="shared" ref="E28:E31" si="4">(D27*E27)^0.5</f>
        <v>0.86799645156646044</v>
      </c>
      <c r="F28">
        <f t="shared" ref="F28:F31" si="5">0.5*(F27+G27)</f>
        <v>0.26884771129799928</v>
      </c>
      <c r="G28">
        <f t="shared" ref="G28:G31" si="6">(F27*G27)^0.5</f>
        <v>0.13612719988415126</v>
      </c>
      <c r="H28">
        <f t="shared" ref="H28:H31" si="7">0.5*(H27+I27)</f>
        <v>0.99999953092572791</v>
      </c>
      <c r="I28">
        <f t="shared" ref="I28:I31" si="8">(H27*I27)^0.5</f>
        <v>0.99999953092572791</v>
      </c>
      <c r="M28" s="18"/>
      <c r="N28" s="20" t="s">
        <v>9</v>
      </c>
      <c r="O28" s="20"/>
      <c r="P28" s="20"/>
      <c r="Q28" s="20"/>
      <c r="R28" s="20"/>
      <c r="S28" s="20"/>
      <c r="T28" s="20"/>
      <c r="U28" s="20"/>
      <c r="V28" s="20"/>
      <c r="W28" s="20"/>
      <c r="X28" s="19"/>
    </row>
    <row r="29" spans="1:24" hidden="1" x14ac:dyDescent="0.3">
      <c r="A29">
        <f t="shared" si="0"/>
        <v>3</v>
      </c>
      <c r="B29">
        <f t="shared" si="1"/>
        <v>0.82489347888524533</v>
      </c>
      <c r="C29">
        <f t="shared" si="2"/>
        <v>0.82489347860562434</v>
      </c>
      <c r="D29">
        <f t="shared" si="3"/>
        <v>0.86800273018833407</v>
      </c>
      <c r="E29">
        <f t="shared" si="4"/>
        <v>0.86800273016562612</v>
      </c>
      <c r="F29">
        <f t="shared" si="5"/>
        <v>0.20248745559107528</v>
      </c>
      <c r="G29">
        <f t="shared" si="6"/>
        <v>0.1913046944909072</v>
      </c>
      <c r="H29">
        <f t="shared" si="7"/>
        <v>0.99999953092572791</v>
      </c>
      <c r="I29">
        <f t="shared" si="8"/>
        <v>0.99999953092572791</v>
      </c>
      <c r="M29" s="18"/>
      <c r="N29" s="20" t="s">
        <v>1</v>
      </c>
      <c r="O29" s="20"/>
      <c r="P29" s="20"/>
      <c r="Q29" s="20"/>
      <c r="R29" s="20"/>
      <c r="S29" s="20"/>
      <c r="T29" s="20"/>
      <c r="U29" s="20"/>
      <c r="V29" s="20"/>
      <c r="W29" s="20"/>
      <c r="X29" s="19"/>
    </row>
    <row r="30" spans="1:24" hidden="1" x14ac:dyDescent="0.3">
      <c r="A30">
        <f t="shared" si="0"/>
        <v>4</v>
      </c>
      <c r="B30">
        <f t="shared" si="1"/>
        <v>0.82489347874543484</v>
      </c>
      <c r="C30">
        <f t="shared" si="2"/>
        <v>0.82489347874543484</v>
      </c>
      <c r="D30">
        <f t="shared" si="3"/>
        <v>0.86800273017698015</v>
      </c>
      <c r="E30">
        <f t="shared" si="4"/>
        <v>0.86800273017698015</v>
      </c>
      <c r="F30">
        <f t="shared" si="5"/>
        <v>0.19689607504099124</v>
      </c>
      <c r="G30">
        <f t="shared" si="6"/>
        <v>0.19681666806978468</v>
      </c>
      <c r="H30">
        <f t="shared" si="7"/>
        <v>0.99999953092572791</v>
      </c>
      <c r="I30">
        <f t="shared" si="8"/>
        <v>0.99999953092572791</v>
      </c>
      <c r="M30" s="18"/>
      <c r="N30" s="20" t="s">
        <v>2</v>
      </c>
      <c r="O30" s="20"/>
      <c r="P30" s="20"/>
      <c r="Q30" s="20"/>
      <c r="R30" s="20"/>
      <c r="S30" s="20"/>
      <c r="T30" s="20"/>
      <c r="U30" s="20"/>
      <c r="V30" s="20"/>
      <c r="W30" s="20"/>
      <c r="X30" s="19"/>
    </row>
    <row r="31" spans="1:24" hidden="1" x14ac:dyDescent="0.3">
      <c r="A31">
        <f t="shared" si="0"/>
        <v>5</v>
      </c>
      <c r="B31">
        <f t="shared" si="1"/>
        <v>0.82489347874543484</v>
      </c>
      <c r="C31">
        <f t="shared" si="2"/>
        <v>0.82489347874543484</v>
      </c>
      <c r="D31">
        <f t="shared" si="3"/>
        <v>0.86800273017698015</v>
      </c>
      <c r="E31">
        <f t="shared" si="4"/>
        <v>0.86800273017698015</v>
      </c>
      <c r="F31">
        <f t="shared" si="5"/>
        <v>0.19685637155538796</v>
      </c>
      <c r="G31">
        <f t="shared" si="6"/>
        <v>0.19685636755153793</v>
      </c>
      <c r="H31">
        <f t="shared" si="7"/>
        <v>0.99999953092572791</v>
      </c>
      <c r="I31">
        <f t="shared" si="8"/>
        <v>0.99999953092572791</v>
      </c>
      <c r="M31" s="18"/>
      <c r="N31" s="20" t="s">
        <v>3</v>
      </c>
      <c r="O31" s="20"/>
      <c r="P31" s="20"/>
      <c r="Q31" s="20"/>
      <c r="R31" s="20"/>
      <c r="S31" s="20"/>
      <c r="T31" s="20"/>
      <c r="U31" s="20"/>
      <c r="V31" s="20"/>
      <c r="W31" s="20"/>
      <c r="X31" s="19"/>
    </row>
    <row r="32" spans="1:24" hidden="1" x14ac:dyDescent="0.3">
      <c r="A32">
        <f>H31*B31/(F31*D31)</f>
        <v>4.8275535443239832</v>
      </c>
      <c r="B32" t="s">
        <v>50</v>
      </c>
      <c r="M32" s="18"/>
      <c r="N32" s="20" t="s">
        <v>4</v>
      </c>
      <c r="O32" s="20"/>
      <c r="P32" s="20"/>
      <c r="Q32" s="20"/>
      <c r="R32" s="20"/>
      <c r="S32" s="20"/>
      <c r="T32" s="20"/>
      <c r="U32" s="20"/>
      <c r="V32" s="20"/>
      <c r="W32" s="20"/>
      <c r="X32" s="19"/>
    </row>
    <row r="33" spans="1:24" hidden="1" x14ac:dyDescent="0.3">
      <c r="A33">
        <f>1+TRUNC(A32)</f>
        <v>5</v>
      </c>
      <c r="B33" t="s">
        <v>51</v>
      </c>
      <c r="M33" s="18"/>
      <c r="N33" s="20" t="s">
        <v>5</v>
      </c>
      <c r="O33" s="20"/>
      <c r="P33" s="20"/>
      <c r="Q33" s="20"/>
      <c r="R33" s="20"/>
      <c r="S33" s="20"/>
      <c r="T33" s="20"/>
      <c r="U33" s="20"/>
      <c r="V33" s="20"/>
      <c r="W33" s="20"/>
      <c r="X33" s="19"/>
    </row>
    <row r="34" spans="1:24" hidden="1" x14ac:dyDescent="0.3">
      <c r="A34">
        <f>(IF(ISODD(A33),-1,0)+A33)/2</f>
        <v>2</v>
      </c>
      <c r="B34" t="s">
        <v>79</v>
      </c>
      <c r="M34" s="18"/>
      <c r="N34" s="20" t="s">
        <v>10</v>
      </c>
      <c r="O34" s="20"/>
      <c r="P34" s="20"/>
      <c r="Q34" s="20"/>
      <c r="R34" s="20"/>
      <c r="S34" s="20"/>
      <c r="T34" s="20"/>
      <c r="U34" s="20"/>
      <c r="V34" s="20"/>
      <c r="W34" s="20"/>
      <c r="X34" s="19"/>
    </row>
    <row r="35" spans="1:24" hidden="1" x14ac:dyDescent="0.3">
      <c r="M35" s="18"/>
      <c r="N35" s="20" t="s">
        <v>11</v>
      </c>
      <c r="O35" s="20"/>
      <c r="P35" s="20"/>
      <c r="Q35" s="20"/>
      <c r="R35" s="20"/>
      <c r="S35" s="20"/>
      <c r="T35" s="20"/>
      <c r="U35" s="20"/>
      <c r="V35" s="20"/>
      <c r="W35" s="20"/>
      <c r="X35" s="19"/>
    </row>
    <row r="36" spans="1:24" hidden="1" x14ac:dyDescent="0.3">
      <c r="M36" s="18"/>
      <c r="N36" s="20" t="s">
        <v>12</v>
      </c>
      <c r="O36" s="20"/>
      <c r="P36" s="20"/>
      <c r="Q36" s="20"/>
      <c r="R36" s="20"/>
      <c r="S36" s="20"/>
      <c r="T36" s="20"/>
      <c r="U36" s="20"/>
      <c r="V36" s="20"/>
      <c r="W36" s="20"/>
      <c r="X36" s="19"/>
    </row>
    <row r="37" spans="1:24" hidden="1" x14ac:dyDescent="0.3">
      <c r="A37" s="12" t="s">
        <v>81</v>
      </c>
      <c r="B37" s="12"/>
      <c r="C37" s="12"/>
      <c r="D37" s="12"/>
      <c r="E37" s="12"/>
      <c r="F37" s="12"/>
      <c r="G37" s="12"/>
      <c r="H37" s="12"/>
      <c r="I37" s="12"/>
      <c r="M37" s="18"/>
      <c r="N37" s="20" t="s">
        <v>87</v>
      </c>
      <c r="O37" s="20"/>
      <c r="P37" s="20"/>
      <c r="Q37" s="20"/>
      <c r="R37" s="20"/>
      <c r="S37" s="20"/>
      <c r="T37" s="20"/>
      <c r="U37" s="20"/>
      <c r="V37" s="20"/>
      <c r="W37" s="20"/>
      <c r="X37" s="19"/>
    </row>
    <row r="38" spans="1:24" hidden="1" x14ac:dyDescent="0.3">
      <c r="A38">
        <f>(2*PI()*A33)^-1*LN((10^(A18/20)+1)/(10^(A18/20)-1))</f>
        <v>0.14210400884776336</v>
      </c>
      <c r="B38" t="s">
        <v>53</v>
      </c>
      <c r="M38" s="18"/>
      <c r="N38" s="20" t="s">
        <v>84</v>
      </c>
      <c r="O38" s="20"/>
      <c r="P38" s="20"/>
      <c r="Q38" s="20"/>
      <c r="R38" s="20"/>
      <c r="S38" s="20"/>
      <c r="T38" s="20"/>
      <c r="U38" s="20"/>
      <c r="V38" s="20"/>
      <c r="W38" s="20"/>
      <c r="X38" s="19"/>
    </row>
    <row r="39" spans="1:24" hidden="1" x14ac:dyDescent="0.3">
      <c r="A39">
        <f>1/A17</f>
        <v>0.66666666666666663</v>
      </c>
      <c r="B39" t="s">
        <v>57</v>
      </c>
      <c r="M39" s="18"/>
      <c r="N39" s="20" t="s">
        <v>85</v>
      </c>
      <c r="O39" s="20"/>
      <c r="P39" s="20"/>
      <c r="Q39" s="20"/>
      <c r="R39" s="20"/>
      <c r="S39" s="20"/>
      <c r="T39" s="20"/>
      <c r="U39" s="20"/>
      <c r="V39" s="20"/>
      <c r="W39" s="20"/>
      <c r="X39" s="19"/>
    </row>
    <row r="40" spans="1:24" hidden="1" x14ac:dyDescent="0.3">
      <c r="A40">
        <f>0.5*( (1-(1-A39^2)^0.25) / (1+(1-A39^2)^0.25) )</f>
        <v>3.6670703430992352E-2</v>
      </c>
      <c r="B40" t="s">
        <v>56</v>
      </c>
      <c r="M40" s="18"/>
      <c r="N40" s="20" t="s">
        <v>86</v>
      </c>
      <c r="O40" s="20"/>
      <c r="P40" s="20"/>
      <c r="Q40" s="20"/>
      <c r="R40" s="20"/>
      <c r="S40" s="20"/>
      <c r="T40" s="20"/>
      <c r="U40" s="20"/>
      <c r="V40" s="20"/>
      <c r="W40" s="20"/>
      <c r="X40" s="19"/>
    </row>
    <row r="41" spans="1:24" hidden="1" x14ac:dyDescent="0.3">
      <c r="A41">
        <f>A40+2*A40^5+15*A40^9+150*A40^13+1707*A40^17</f>
        <v>3.667083605803631E-2</v>
      </c>
      <c r="B41" t="s">
        <v>71</v>
      </c>
      <c r="M41" s="18"/>
      <c r="N41" s="20" t="s">
        <v>13</v>
      </c>
      <c r="O41" s="20"/>
      <c r="P41" s="20"/>
      <c r="Q41" s="20"/>
      <c r="R41" s="20"/>
      <c r="S41" s="20"/>
      <c r="T41" s="20"/>
      <c r="U41" s="20"/>
      <c r="V41" s="20"/>
      <c r="W41" s="20"/>
      <c r="X41" s="19"/>
    </row>
    <row r="42" spans="1:24" hidden="1" x14ac:dyDescent="0.3">
      <c r="B42" t="s">
        <v>59</v>
      </c>
      <c r="M42" s="18"/>
      <c r="N42" s="20" t="s">
        <v>14</v>
      </c>
      <c r="O42" s="20"/>
      <c r="P42" s="20"/>
      <c r="Q42" s="20"/>
      <c r="R42" s="20"/>
      <c r="S42" s="20"/>
      <c r="T42" s="20"/>
      <c r="U42" s="20"/>
      <c r="V42" s="20"/>
      <c r="W42" s="20"/>
      <c r="X42" s="19"/>
    </row>
    <row r="43" spans="1:24" hidden="1" x14ac:dyDescent="0.3">
      <c r="B43" t="s">
        <v>67</v>
      </c>
      <c r="C43" t="s">
        <v>68</v>
      </c>
      <c r="D43" s="1" t="s">
        <v>58</v>
      </c>
      <c r="E43" s="1" t="s">
        <v>54</v>
      </c>
      <c r="F43" s="1" t="s">
        <v>58</v>
      </c>
      <c r="G43" s="1" t="s">
        <v>55</v>
      </c>
      <c r="M43" s="18"/>
      <c r="N43" s="20" t="s">
        <v>15</v>
      </c>
      <c r="O43" s="20"/>
      <c r="P43" s="20"/>
      <c r="Q43" s="20"/>
      <c r="R43" s="20"/>
      <c r="S43" s="20"/>
      <c r="T43" s="20"/>
      <c r="U43" s="20"/>
      <c r="V43" s="20"/>
      <c r="W43" s="20"/>
      <c r="X43" s="19"/>
    </row>
    <row r="44" spans="1:24" hidden="1" x14ac:dyDescent="0.3">
      <c r="B44">
        <f>A38</f>
        <v>0.14210400884776336</v>
      </c>
      <c r="C44">
        <f>A41</f>
        <v>3.667083605803631E-2</v>
      </c>
      <c r="D44" s="1">
        <v>1</v>
      </c>
      <c r="E44" s="1">
        <f>-1^D44*$C$44^(D44*D44)*COSH(2*D44*PI()*$B$44)</f>
        <v>-5.2285257458539333E-2</v>
      </c>
      <c r="F44">
        <v>0</v>
      </c>
      <c r="G44" s="1">
        <f>-1^F44*$C$44^(F44*(F44+1))*SINH((2*F44+1)*PI()*$B$44)</f>
        <v>0.46141057553785103</v>
      </c>
      <c r="M44" s="18"/>
      <c r="N44" s="20" t="s">
        <v>16</v>
      </c>
      <c r="O44" s="20"/>
      <c r="P44" s="20"/>
      <c r="Q44" s="20"/>
      <c r="R44" s="20"/>
      <c r="S44" s="20"/>
      <c r="T44" s="20"/>
      <c r="U44" s="20"/>
      <c r="V44" s="20"/>
      <c r="W44" s="20"/>
      <c r="X44" s="19"/>
    </row>
    <row r="45" spans="1:24" hidden="1" x14ac:dyDescent="0.3">
      <c r="D45" s="1">
        <f>D44+1</f>
        <v>2</v>
      </c>
      <c r="E45" s="1">
        <f t="shared" ref="E45:E52" si="9">-1^D45*$C$44^(D45*D45)*COSH(2*D45*PI()*$B$44)</f>
        <v>5.5440636835845972E-6</v>
      </c>
      <c r="F45">
        <v>1</v>
      </c>
      <c r="G45" s="1">
        <f t="shared" ref="G45:G52" si="10">-1^F45*$C$44^(F45*(F45+1))*SINH((2*F45+1)*PI()*$B$44)</f>
        <v>-2.3898476652068805E-3</v>
      </c>
      <c r="M45" s="18"/>
      <c r="N45" s="20" t="s">
        <v>17</v>
      </c>
      <c r="O45" s="20"/>
      <c r="P45" s="20"/>
      <c r="Q45" s="20"/>
      <c r="R45" s="20"/>
      <c r="S45" s="20"/>
      <c r="T45" s="20"/>
      <c r="U45" s="20"/>
      <c r="V45" s="20"/>
      <c r="W45" s="20"/>
      <c r="X45" s="19"/>
    </row>
    <row r="46" spans="1:24" hidden="1" x14ac:dyDescent="0.3">
      <c r="D46" s="1">
        <f t="shared" ref="D46:D52" si="11">D45+1</f>
        <v>3</v>
      </c>
      <c r="E46" s="1">
        <f t="shared" si="9"/>
        <v>-8.774045998961329E-13</v>
      </c>
      <c r="F46">
        <v>2</v>
      </c>
      <c r="G46" s="1">
        <f t="shared" si="10"/>
        <v>1.1201671676301626E-8</v>
      </c>
      <c r="M46" s="18"/>
      <c r="N46" s="20" t="s">
        <v>18</v>
      </c>
      <c r="O46" s="20"/>
      <c r="P46" s="20"/>
      <c r="Q46" s="20"/>
      <c r="R46" s="20"/>
      <c r="S46" s="20"/>
      <c r="T46" s="20"/>
      <c r="U46" s="20"/>
      <c r="V46" s="20"/>
      <c r="W46" s="20"/>
      <c r="X46" s="19"/>
    </row>
    <row r="47" spans="1:24" hidden="1" x14ac:dyDescent="0.3">
      <c r="D47" s="1">
        <f t="shared" si="11"/>
        <v>4</v>
      </c>
      <c r="E47" s="1">
        <f t="shared" si="9"/>
        <v>1.9033249074542323E-22</v>
      </c>
      <c r="F47">
        <v>3</v>
      </c>
      <c r="G47" s="1">
        <f t="shared" si="10"/>
        <v>-6.7168251694029179E-17</v>
      </c>
      <c r="M47" s="18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19"/>
    </row>
    <row r="48" spans="1:24" hidden="1" x14ac:dyDescent="0.3">
      <c r="D48" s="1">
        <f t="shared" si="11"/>
        <v>5</v>
      </c>
      <c r="E48" s="1">
        <f t="shared" si="9"/>
        <v>-5.5703353711755801E-35</v>
      </c>
      <c r="F48">
        <v>4</v>
      </c>
      <c r="G48" s="1">
        <f t="shared" si="10"/>
        <v>5.3727395790321921E-28</v>
      </c>
      <c r="M48" s="18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19"/>
    </row>
    <row r="49" spans="1:24" ht="15" hidden="1" thickBot="1" x14ac:dyDescent="0.35">
      <c r="D49" s="1">
        <f t="shared" si="11"/>
        <v>6</v>
      </c>
      <c r="E49" s="1">
        <f t="shared" si="9"/>
        <v>2.1934566956112498E-50</v>
      </c>
      <c r="F49">
        <v>5</v>
      </c>
      <c r="G49" s="1">
        <f t="shared" si="10"/>
        <v>-5.7714857099721353E-42</v>
      </c>
      <c r="M49" s="18"/>
      <c r="N49" s="22" t="s">
        <v>19</v>
      </c>
      <c r="O49" s="22"/>
      <c r="P49" s="22"/>
      <c r="Q49" s="22"/>
      <c r="R49" s="22"/>
      <c r="S49" s="22"/>
      <c r="T49" s="22"/>
      <c r="U49" s="22"/>
      <c r="V49" s="20"/>
      <c r="W49" s="20"/>
      <c r="X49" s="19"/>
    </row>
    <row r="50" spans="1:24" hidden="1" x14ac:dyDescent="0.3">
      <c r="D50" s="1">
        <f t="shared" si="11"/>
        <v>7</v>
      </c>
      <c r="E50" s="1">
        <f t="shared" si="9"/>
        <v>-1.1616044869674288E-68</v>
      </c>
      <c r="F50">
        <v>6</v>
      </c>
      <c r="G50" s="1">
        <f t="shared" si="10"/>
        <v>8.3353469259306123E-59</v>
      </c>
      <c r="M50" s="18"/>
      <c r="N50" s="20" t="s">
        <v>20</v>
      </c>
      <c r="O50" s="20"/>
      <c r="P50" s="20"/>
      <c r="Q50" s="20"/>
      <c r="R50" s="20"/>
      <c r="S50" s="20"/>
      <c r="T50" s="20"/>
      <c r="U50" s="20"/>
      <c r="V50" s="20"/>
      <c r="W50" s="20"/>
      <c r="X50" s="19"/>
    </row>
    <row r="51" spans="1:24" hidden="1" x14ac:dyDescent="0.3">
      <c r="D51" s="1">
        <f t="shared" si="11"/>
        <v>8</v>
      </c>
      <c r="E51" s="1">
        <f t="shared" si="9"/>
        <v>8.2724815294440105E-90</v>
      </c>
      <c r="F51">
        <v>7</v>
      </c>
      <c r="G51" s="1">
        <f t="shared" si="10"/>
        <v>-1.6187695643352044E-78</v>
      </c>
      <c r="M51" s="18"/>
      <c r="N51" s="20" t="s">
        <v>21</v>
      </c>
      <c r="O51" s="20"/>
      <c r="P51" s="20"/>
      <c r="Q51" s="20"/>
      <c r="R51" s="20"/>
      <c r="S51" s="20"/>
      <c r="T51" s="20"/>
      <c r="U51" s="20"/>
      <c r="V51" s="20"/>
      <c r="W51" s="20"/>
      <c r="X51" s="19"/>
    </row>
    <row r="52" spans="1:24" hidden="1" x14ac:dyDescent="0.3">
      <c r="D52" s="1">
        <f t="shared" si="11"/>
        <v>9</v>
      </c>
      <c r="E52" s="1">
        <f t="shared" si="9"/>
        <v>-7.9223874042362184E-114</v>
      </c>
      <c r="F52">
        <v>8</v>
      </c>
      <c r="G52" s="1">
        <f t="shared" si="10"/>
        <v>4.2275160544470848E-101</v>
      </c>
      <c r="M52" s="18"/>
      <c r="N52" s="20" t="s">
        <v>22</v>
      </c>
      <c r="O52" s="20"/>
      <c r="P52" s="20"/>
      <c r="Q52" s="20"/>
      <c r="R52" s="20"/>
      <c r="S52" s="20"/>
      <c r="T52" s="20"/>
      <c r="U52" s="20"/>
      <c r="V52" s="20"/>
      <c r="W52" s="20"/>
      <c r="X52" s="19"/>
    </row>
    <row r="53" spans="1:24" hidden="1" x14ac:dyDescent="0.3">
      <c r="D53" s="2" t="s">
        <v>69</v>
      </c>
      <c r="E53">
        <f>1+2*SUM(E44:E52)</f>
        <v>0.89544057320853365</v>
      </c>
      <c r="M53" s="18"/>
      <c r="N53" s="20" t="s">
        <v>23</v>
      </c>
      <c r="O53" s="20"/>
      <c r="P53" s="20"/>
      <c r="Q53" s="20"/>
      <c r="R53" s="20"/>
      <c r="S53" s="20"/>
      <c r="T53" s="20"/>
      <c r="U53" s="20"/>
      <c r="V53" s="20"/>
      <c r="W53" s="20"/>
      <c r="X53" s="19"/>
    </row>
    <row r="54" spans="1:24" hidden="1" x14ac:dyDescent="0.3">
      <c r="D54" s="2" t="s">
        <v>70</v>
      </c>
      <c r="E54">
        <f>2*C44^0.25*SUM(G44:G52)</f>
        <v>0.40173762377504119</v>
      </c>
      <c r="M54" s="18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19"/>
    </row>
    <row r="55" spans="1:24" ht="15" hidden="1" thickBot="1" x14ac:dyDescent="0.35">
      <c r="A55">
        <f>E54/E53</f>
        <v>0.44864800165971813</v>
      </c>
      <c r="B55" t="s">
        <v>60</v>
      </c>
      <c r="M55" s="18"/>
      <c r="N55" s="22" t="s">
        <v>24</v>
      </c>
      <c r="O55" s="22"/>
      <c r="P55" s="22"/>
      <c r="Q55" s="22"/>
      <c r="R55" s="22"/>
      <c r="S55" s="22"/>
      <c r="T55" s="22"/>
      <c r="U55" s="22"/>
      <c r="V55" s="20"/>
      <c r="W55" s="20"/>
      <c r="X55" s="19"/>
    </row>
    <row r="56" spans="1:24" hidden="1" x14ac:dyDescent="0.3">
      <c r="M56" s="18"/>
      <c r="N56" s="20" t="s">
        <v>25</v>
      </c>
      <c r="O56" s="20"/>
      <c r="P56" s="20"/>
      <c r="Q56" s="20"/>
      <c r="R56" s="20"/>
      <c r="S56" s="20"/>
      <c r="T56" s="20"/>
      <c r="U56" s="20"/>
      <c r="V56" s="20"/>
      <c r="W56" s="20"/>
      <c r="X56" s="19"/>
    </row>
    <row r="57" spans="1:24" hidden="1" x14ac:dyDescent="0.3">
      <c r="M57" s="18"/>
      <c r="N57" s="20" t="s">
        <v>26</v>
      </c>
      <c r="O57" s="20"/>
      <c r="P57" s="20"/>
      <c r="Q57" s="20"/>
      <c r="R57" s="20"/>
      <c r="S57" s="20"/>
      <c r="T57" s="20"/>
      <c r="U57" s="20"/>
      <c r="V57" s="20"/>
      <c r="W57" s="20"/>
      <c r="X57" s="19"/>
    </row>
    <row r="58" spans="1:24" hidden="1" x14ac:dyDescent="0.3">
      <c r="A58" s="12" t="s">
        <v>78</v>
      </c>
      <c r="B58" s="13"/>
      <c r="C58" s="13"/>
      <c r="D58" s="13"/>
      <c r="E58" s="13"/>
      <c r="F58" s="13"/>
      <c r="G58" s="13"/>
      <c r="H58" s="13"/>
      <c r="I58" s="13"/>
      <c r="M58" s="18"/>
      <c r="N58" s="20" t="s">
        <v>27</v>
      </c>
      <c r="O58" s="20"/>
      <c r="P58" s="20"/>
      <c r="Q58" s="20"/>
      <c r="R58" s="20"/>
      <c r="S58" s="20"/>
      <c r="T58" s="20"/>
      <c r="U58" s="20"/>
      <c r="V58" s="20"/>
      <c r="W58" s="20"/>
      <c r="X58" s="19"/>
    </row>
    <row r="59" spans="1:24" hidden="1" x14ac:dyDescent="0.3">
      <c r="B59" s="2" t="s">
        <v>64</v>
      </c>
      <c r="C59" s="3">
        <v>1</v>
      </c>
      <c r="M59" s="18"/>
      <c r="N59" s="20" t="s">
        <v>28</v>
      </c>
      <c r="O59" s="20"/>
      <c r="P59" s="20"/>
      <c r="Q59" s="20"/>
      <c r="R59" s="20"/>
      <c r="S59" s="20"/>
      <c r="T59" s="20"/>
      <c r="U59" s="20"/>
      <c r="V59" s="20"/>
      <c r="W59" s="20"/>
      <c r="X59" s="19"/>
    </row>
    <row r="60" spans="1:24" hidden="1" x14ac:dyDescent="0.3">
      <c r="B60" t="s">
        <v>67</v>
      </c>
      <c r="C60" t="s">
        <v>68</v>
      </c>
      <c r="D60" s="1" t="s">
        <v>58</v>
      </c>
      <c r="E60" s="1" t="s">
        <v>61</v>
      </c>
      <c r="F60" s="1" t="s">
        <v>58</v>
      </c>
      <c r="G60" s="1" t="s">
        <v>62</v>
      </c>
      <c r="M60" s="18"/>
      <c r="N60" s="20" t="s">
        <v>29</v>
      </c>
      <c r="O60" s="20"/>
      <c r="P60" s="20"/>
      <c r="Q60" s="20"/>
      <c r="R60" s="20"/>
      <c r="S60" s="20"/>
      <c r="T60" s="20"/>
      <c r="U60" s="20"/>
      <c r="V60" s="20"/>
      <c r="W60" s="20"/>
      <c r="X60" s="19"/>
    </row>
    <row r="61" spans="1:24" hidden="1" x14ac:dyDescent="0.3">
      <c r="B61">
        <f>0.5+((2*C59-1)/(2*$A$33))</f>
        <v>0.6</v>
      </c>
      <c r="C61">
        <f>EXP(-PI()*($D$31/$B$31))</f>
        <v>3.6670836058036324E-2</v>
      </c>
      <c r="D61" s="1">
        <v>1</v>
      </c>
      <c r="E61" s="1">
        <f>-1^D61*$C$61^(D61^2)*COS(2*D61*PI()*$B$61)</f>
        <v>2.9667329568888998E-2</v>
      </c>
      <c r="F61">
        <v>0</v>
      </c>
      <c r="G61" s="1">
        <f>-1^F61*$C$61^(F61*(F61+1))*SIN((2*F61+1)*PI()*$B$61)</f>
        <v>0.95105651629515364</v>
      </c>
      <c r="M61" s="18"/>
      <c r="N61" s="20" t="s">
        <v>30</v>
      </c>
      <c r="O61" s="20"/>
      <c r="P61" s="20"/>
      <c r="Q61" s="20"/>
      <c r="R61" s="20"/>
      <c r="S61" s="20"/>
      <c r="T61" s="20"/>
      <c r="U61" s="20"/>
      <c r="V61" s="20"/>
      <c r="W61" s="20"/>
      <c r="X61" s="19"/>
    </row>
    <row r="62" spans="1:24" hidden="1" x14ac:dyDescent="0.3">
      <c r="D62" s="1">
        <v>2</v>
      </c>
      <c r="E62" s="1">
        <f t="shared" ref="E62:E69" si="12">-1^D62*$C$61^(D62^2)*COS(2*D62*PI()*$B$61)</f>
        <v>5.5881185414533917E-7</v>
      </c>
      <c r="F62">
        <v>1</v>
      </c>
      <c r="G62" s="1">
        <f t="shared" ref="G62:G69" si="13">-1^F62*$C$61^(F62*(F62+1))*SIN((2*F62+1)*PI()*$B$61)</f>
        <v>7.9042434568454302E-4</v>
      </c>
      <c r="M62" s="18"/>
      <c r="N62" s="20" t="s">
        <v>31</v>
      </c>
      <c r="O62" s="20"/>
      <c r="P62" s="20"/>
      <c r="Q62" s="20"/>
      <c r="R62" s="20"/>
      <c r="S62" s="20"/>
      <c r="T62" s="20"/>
      <c r="U62" s="20"/>
      <c r="V62" s="20"/>
      <c r="W62" s="20"/>
      <c r="X62" s="19"/>
    </row>
    <row r="63" spans="1:24" hidden="1" x14ac:dyDescent="0.3">
      <c r="D63" s="1">
        <v>3</v>
      </c>
      <c r="E63" s="1">
        <f t="shared" si="12"/>
        <v>-3.7056949701957352E-14</v>
      </c>
      <c r="F63">
        <v>2</v>
      </c>
      <c r="G63" s="1">
        <f t="shared" si="13"/>
        <v>8.9378866091910569E-25</v>
      </c>
      <c r="M63" s="18"/>
      <c r="N63" s="20" t="s">
        <v>32</v>
      </c>
      <c r="O63" s="20"/>
      <c r="P63" s="20"/>
      <c r="Q63" s="20"/>
      <c r="R63" s="20"/>
      <c r="S63" s="20"/>
      <c r="T63" s="20"/>
      <c r="U63" s="20"/>
      <c r="V63" s="20"/>
      <c r="W63" s="20"/>
      <c r="X63" s="19"/>
    </row>
    <row r="64" spans="1:24" hidden="1" x14ac:dyDescent="0.3">
      <c r="D64" s="1">
        <v>4</v>
      </c>
      <c r="E64" s="1">
        <f t="shared" si="12"/>
        <v>-8.651484407097993E-24</v>
      </c>
      <c r="F64">
        <v>3</v>
      </c>
      <c r="G64" s="1">
        <f t="shared" si="13"/>
        <v>-3.4759092071073675E-18</v>
      </c>
      <c r="M64" s="18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19"/>
    </row>
    <row r="65" spans="2:24" ht="15" hidden="1" thickBot="1" x14ac:dyDescent="0.35">
      <c r="D65" s="1">
        <v>5</v>
      </c>
      <c r="E65" s="1">
        <f t="shared" si="12"/>
        <v>-1.2823904900843967E-36</v>
      </c>
      <c r="F65">
        <v>4</v>
      </c>
      <c r="G65" s="1">
        <f t="shared" si="13"/>
        <v>-1.8391728894082949E-29</v>
      </c>
      <c r="M65" s="18"/>
      <c r="N65" s="22" t="s">
        <v>83</v>
      </c>
      <c r="O65" s="22"/>
      <c r="P65" s="22"/>
      <c r="Q65" s="22"/>
      <c r="R65" s="22"/>
      <c r="S65" s="22"/>
      <c r="T65" s="22"/>
      <c r="U65" s="22"/>
      <c r="V65" s="20"/>
      <c r="W65" s="20"/>
      <c r="X65" s="19"/>
    </row>
    <row r="66" spans="2:24" hidden="1" x14ac:dyDescent="0.3">
      <c r="D66" s="1">
        <v>6</v>
      </c>
      <c r="E66" s="1">
        <f t="shared" si="12"/>
        <v>-1.6730420644881216E-52</v>
      </c>
      <c r="F66">
        <v>5</v>
      </c>
      <c r="G66" s="1">
        <f t="shared" si="13"/>
        <v>-8.087805005829015E-44</v>
      </c>
      <c r="M66" s="18"/>
      <c r="N66" s="20" t="s">
        <v>33</v>
      </c>
      <c r="O66" s="20"/>
      <c r="P66" s="20"/>
      <c r="Q66" s="20"/>
      <c r="R66" s="20"/>
      <c r="S66" s="20"/>
      <c r="T66" s="20"/>
      <c r="U66" s="20"/>
      <c r="V66" s="20"/>
      <c r="W66" s="20"/>
      <c r="X66" s="19"/>
    </row>
    <row r="67" spans="2:24" hidden="1" x14ac:dyDescent="0.3">
      <c r="D67" s="1">
        <v>7</v>
      </c>
      <c r="E67" s="1">
        <f t="shared" si="12"/>
        <v>-1.385805019322885E-71</v>
      </c>
      <c r="F67">
        <v>6</v>
      </c>
      <c r="G67" s="1">
        <f t="shared" si="13"/>
        <v>-2.9559206422939481E-61</v>
      </c>
      <c r="M67" s="18"/>
      <c r="N67" s="20" t="s">
        <v>34</v>
      </c>
      <c r="O67" s="20"/>
      <c r="P67" s="20"/>
      <c r="Q67" s="20"/>
      <c r="R67" s="20"/>
      <c r="S67" s="20"/>
      <c r="T67" s="20"/>
      <c r="U67" s="20"/>
      <c r="V67" s="20"/>
      <c r="W67" s="20"/>
      <c r="X67" s="19"/>
    </row>
    <row r="68" spans="2:24" hidden="1" x14ac:dyDescent="0.3">
      <c r="D68" s="1">
        <v>8</v>
      </c>
      <c r="E68" s="1">
        <f t="shared" si="12"/>
        <v>4.0412368386950102E-93</v>
      </c>
      <c r="F68">
        <v>7</v>
      </c>
      <c r="G68" s="1">
        <f t="shared" si="13"/>
        <v>-1.8617335774873034E-95</v>
      </c>
      <c r="M68" s="18"/>
      <c r="N68" s="20" t="s">
        <v>52</v>
      </c>
      <c r="O68" s="20"/>
      <c r="P68" s="20"/>
      <c r="Q68" s="20"/>
      <c r="R68" s="20"/>
      <c r="S68" s="20"/>
      <c r="T68" s="20"/>
      <c r="U68" s="20"/>
      <c r="V68" s="20"/>
      <c r="W68" s="20"/>
      <c r="X68" s="19"/>
    </row>
    <row r="69" spans="2:24" hidden="1" x14ac:dyDescent="0.3">
      <c r="D69" s="1">
        <v>9</v>
      </c>
      <c r="E69" s="1">
        <f t="shared" si="12"/>
        <v>4.1489994768488557E-117</v>
      </c>
      <c r="F69">
        <v>8</v>
      </c>
      <c r="G69" s="1">
        <f t="shared" si="13"/>
        <v>2.5137212518881456E-104</v>
      </c>
      <c r="M69" s="18"/>
      <c r="N69" s="20" t="s">
        <v>35</v>
      </c>
      <c r="O69" s="20"/>
      <c r="P69" s="20"/>
      <c r="Q69" s="20"/>
      <c r="R69" s="20"/>
      <c r="S69" s="20"/>
      <c r="T69" s="20"/>
      <c r="U69" s="20"/>
      <c r="V69" s="20"/>
      <c r="W69" s="20"/>
      <c r="X69" s="19"/>
    </row>
    <row r="70" spans="2:24" hidden="1" x14ac:dyDescent="0.3">
      <c r="D70" s="2" t="s">
        <v>65</v>
      </c>
      <c r="E70">
        <f>1+2*SUM(E61:E69)</f>
        <v>1.0593357767614122</v>
      </c>
      <c r="F70" s="1"/>
      <c r="M70" s="18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19"/>
    </row>
    <row r="71" spans="2:24" ht="15" hidden="1" thickBot="1" x14ac:dyDescent="0.35">
      <c r="D71" s="2" t="s">
        <v>66</v>
      </c>
      <c r="E71">
        <f>2*C61^0.25*SUM(G61:G69)</f>
        <v>0.83306198517684704</v>
      </c>
      <c r="F71" s="1"/>
      <c r="M71" s="18"/>
      <c r="N71" s="22" t="s">
        <v>82</v>
      </c>
      <c r="O71" s="22"/>
      <c r="P71" s="22"/>
      <c r="Q71" s="22"/>
      <c r="R71" s="22"/>
      <c r="S71" s="22"/>
      <c r="T71" s="22"/>
      <c r="U71" s="22"/>
      <c r="V71" s="20"/>
      <c r="W71" s="20"/>
      <c r="X71" s="19"/>
    </row>
    <row r="72" spans="2:24" hidden="1" x14ac:dyDescent="0.3">
      <c r="B72" s="4" t="s">
        <v>63</v>
      </c>
      <c r="C72">
        <f>$A$22^-0.5*E71/E70</f>
        <v>0.96313974877337949</v>
      </c>
      <c r="M72" s="18"/>
      <c r="N72" s="20" t="s">
        <v>36</v>
      </c>
      <c r="O72" s="20"/>
      <c r="P72" s="20"/>
      <c r="Q72" s="20"/>
      <c r="R72" s="20"/>
      <c r="S72" s="20"/>
      <c r="T72" s="20"/>
      <c r="U72" s="20"/>
      <c r="V72" s="20"/>
      <c r="W72" s="20"/>
      <c r="X72" s="19"/>
    </row>
    <row r="73" spans="2:24" hidden="1" x14ac:dyDescent="0.3">
      <c r="B73" s="4" t="str">
        <f>"OMEGA_zero["&amp;C59&amp;"]"</f>
        <v>OMEGA_zero[1]</v>
      </c>
      <c r="C73" s="5">
        <f>$A$17/C72</f>
        <v>1.5574063908278593</v>
      </c>
      <c r="M73" s="18"/>
      <c r="N73" s="20" t="s">
        <v>37</v>
      </c>
      <c r="O73" s="20"/>
      <c r="P73" s="20"/>
      <c r="Q73" s="20"/>
      <c r="R73" s="20"/>
      <c r="S73" s="20"/>
      <c r="T73" s="20"/>
      <c r="U73" s="20"/>
      <c r="V73" s="20"/>
      <c r="W73" s="20"/>
      <c r="X73" s="19"/>
    </row>
    <row r="74" spans="2:24" hidden="1" x14ac:dyDescent="0.3">
      <c r="B74" s="4" t="str">
        <f>"OMEGA_pole["&amp;C59&amp;"]"</f>
        <v>OMEGA_pole[1]</v>
      </c>
      <c r="C74" s="5">
        <f>( $A$17*(  ($A$17*$A$55^2+C72^2)/($A$17+$A$55^2*C72^2)  )    )^0.5</f>
        <v>1.0456829986642902</v>
      </c>
      <c r="M74" s="18"/>
      <c r="N74" s="20" t="s">
        <v>38</v>
      </c>
      <c r="O74" s="20"/>
      <c r="P74" s="20"/>
      <c r="Q74" s="20"/>
      <c r="R74" s="20"/>
      <c r="S74" s="20"/>
      <c r="T74" s="20"/>
      <c r="U74" s="20"/>
      <c r="V74" s="20"/>
      <c r="W74" s="20"/>
      <c r="X74" s="19"/>
    </row>
    <row r="75" spans="2:24" hidden="1" x14ac:dyDescent="0.3">
      <c r="B75" s="4" t="str">
        <f>"pole_Q["&amp;C59&amp;"]"</f>
        <v>pole_Q[1]</v>
      </c>
      <c r="C75" s="5">
        <f>0.5*$A$55^-1*($A$55^2+(C72^2*($A$17+$A$55^2)*(1+$A$17*$A$55^2))/((C72^2-$A$17^2)*(C72^2-1)))^0.5</f>
        <v>5.1883789714980528</v>
      </c>
      <c r="M75" s="18"/>
      <c r="N75" s="20" t="s">
        <v>39</v>
      </c>
      <c r="O75" s="20"/>
      <c r="P75" s="20"/>
      <c r="Q75" s="20"/>
      <c r="R75" s="20"/>
      <c r="S75" s="20"/>
      <c r="T75" s="20"/>
      <c r="U75" s="20"/>
      <c r="V75" s="20"/>
      <c r="W75" s="20"/>
      <c r="X75" s="19"/>
    </row>
    <row r="76" spans="2:24" hidden="1" x14ac:dyDescent="0.3">
      <c r="M76" s="18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19"/>
    </row>
    <row r="77" spans="2:24" ht="15" hidden="1" thickBot="1" x14ac:dyDescent="0.35">
      <c r="B77" s="2" t="s">
        <v>64</v>
      </c>
      <c r="C77" s="3">
        <f>IF(OR(C59=$A$34,C59=0),"not used",C59+1)</f>
        <v>2</v>
      </c>
      <c r="M77" s="21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3"/>
    </row>
    <row r="78" spans="2:24" hidden="1" x14ac:dyDescent="0.3">
      <c r="B78" t="s">
        <v>67</v>
      </c>
      <c r="C78" t="s">
        <v>68</v>
      </c>
      <c r="D78" s="1" t="s">
        <v>58</v>
      </c>
      <c r="E78" s="1" t="s">
        <v>61</v>
      </c>
      <c r="F78" s="1" t="s">
        <v>58</v>
      </c>
      <c r="G78" s="1" t="s">
        <v>62</v>
      </c>
      <c r="N78" t="s">
        <v>40</v>
      </c>
    </row>
    <row r="79" spans="2:24" hidden="1" x14ac:dyDescent="0.3">
      <c r="B79">
        <f>0.5+((2*C77-1)/(2*$A$33))</f>
        <v>0.8</v>
      </c>
      <c r="C79">
        <f>EXP(-PI()*($D$31/$B$31))</f>
        <v>3.6670836058036324E-2</v>
      </c>
      <c r="D79" s="1">
        <v>1</v>
      </c>
      <c r="E79" s="1">
        <f>-1^D79*$C$79^(D79^2)*COS(2*D79*PI()*$B$79)</f>
        <v>-1.1331911539870823E-2</v>
      </c>
      <c r="F79">
        <v>0</v>
      </c>
      <c r="G79" s="1">
        <f>-1^F79*$C$79^(F79*(F79+1))*SIN((2*F79+1)*PI()*$B$79)</f>
        <v>0.58778525229247325</v>
      </c>
    </row>
    <row r="80" spans="2:24" hidden="1" x14ac:dyDescent="0.3">
      <c r="D80" s="1">
        <v>2</v>
      </c>
      <c r="E80" s="1">
        <f t="shared" ref="E80:E87" si="14">-1^D80*$C$79^(D80^2)*COS(2*D80*PI()*$B$79)</f>
        <v>-1.4629884274688459E-6</v>
      </c>
      <c r="F80">
        <v>1</v>
      </c>
      <c r="G80" s="1">
        <f t="shared" ref="G80:G87" si="15">-1^F80*$C$79^(F80*(F80+1))*SIN((2*F80+1)*PI()*$B$79)</f>
        <v>-1.2789334568529863E-3</v>
      </c>
    </row>
    <row r="81" spans="2:7" hidden="1" x14ac:dyDescent="0.3">
      <c r="D81" s="1">
        <v>3</v>
      </c>
      <c r="E81" s="1">
        <f t="shared" si="14"/>
        <v>9.7016353839119719E-14</v>
      </c>
      <c r="F81">
        <v>2</v>
      </c>
      <c r="G81" s="1">
        <f t="shared" si="15"/>
        <v>-1.1917182145588075E-24</v>
      </c>
    </row>
    <row r="82" spans="2:7" hidden="1" x14ac:dyDescent="0.3">
      <c r="D82" s="1">
        <v>4</v>
      </c>
      <c r="E82" s="1">
        <f t="shared" si="14"/>
        <v>3.3045729903717105E-24</v>
      </c>
      <c r="F82">
        <v>3</v>
      </c>
      <c r="G82" s="1">
        <f t="shared" si="15"/>
        <v>5.6241392389084243E-18</v>
      </c>
    </row>
    <row r="83" spans="2:7" hidden="1" x14ac:dyDescent="0.3">
      <c r="D83" s="1">
        <v>5</v>
      </c>
      <c r="E83" s="1">
        <f t="shared" si="14"/>
        <v>-1.2823904900843967E-36</v>
      </c>
      <c r="F83">
        <v>4</v>
      </c>
      <c r="G83" s="1">
        <f t="shared" si="15"/>
        <v>-1.1366713568416767E-29</v>
      </c>
    </row>
    <row r="84" spans="2:7" hidden="1" x14ac:dyDescent="0.3">
      <c r="D84" s="1">
        <v>6</v>
      </c>
      <c r="E84" s="1">
        <f t="shared" si="14"/>
        <v>6.390452040261662E-53</v>
      </c>
      <c r="F84">
        <v>5</v>
      </c>
      <c r="G84" s="1">
        <f t="shared" si="15"/>
        <v>-4.9985383879838722E-44</v>
      </c>
    </row>
    <row r="85" spans="2:7" hidden="1" x14ac:dyDescent="0.3">
      <c r="D85" s="1">
        <v>7</v>
      </c>
      <c r="E85" s="1">
        <f t="shared" si="14"/>
        <v>3.6280846423675096E-71</v>
      </c>
      <c r="F85">
        <v>6</v>
      </c>
      <c r="G85" s="1">
        <f t="shared" si="15"/>
        <v>4.7827800672790304E-61</v>
      </c>
    </row>
    <row r="86" spans="2:7" hidden="1" x14ac:dyDescent="0.3">
      <c r="D86" s="1">
        <v>8</v>
      </c>
      <c r="E86" s="1">
        <f t="shared" si="14"/>
        <v>-1.0580095400291738E-92</v>
      </c>
      <c r="F86">
        <v>7</v>
      </c>
      <c r="G86" s="1">
        <f t="shared" si="15"/>
        <v>5.879432509834606E-96</v>
      </c>
    </row>
    <row r="87" spans="2:7" hidden="1" x14ac:dyDescent="0.3">
      <c r="D87" s="1">
        <v>9</v>
      </c>
      <c r="E87" s="1">
        <f t="shared" si="14"/>
        <v>-1.5847767808507407E-117</v>
      </c>
      <c r="F87">
        <v>8</v>
      </c>
      <c r="G87" s="1">
        <f t="shared" si="15"/>
        <v>-4.0672864237979353E-104</v>
      </c>
    </row>
    <row r="88" spans="2:7" hidden="1" x14ac:dyDescent="0.3">
      <c r="D88" s="2" t="s">
        <v>65</v>
      </c>
      <c r="E88">
        <f>1+2*SUM(E79:E87)</f>
        <v>0.97733325094359746</v>
      </c>
      <c r="F88" s="1"/>
    </row>
    <row r="89" spans="2:7" hidden="1" x14ac:dyDescent="0.3">
      <c r="D89" s="2" t="s">
        <v>66</v>
      </c>
      <c r="E89">
        <f>2*C79^0.25*SUM(G79:G87)</f>
        <v>0.51331374554717335</v>
      </c>
      <c r="F89" s="1"/>
    </row>
    <row r="90" spans="2:7" hidden="1" x14ac:dyDescent="0.3">
      <c r="B90" s="4" t="s">
        <v>63</v>
      </c>
      <c r="C90">
        <f>$A$22^-0.5*E89/E88</f>
        <v>0.64325896685366035</v>
      </c>
    </row>
    <row r="91" spans="2:7" hidden="1" x14ac:dyDescent="0.3">
      <c r="B91" s="4" t="str">
        <f>"OMEGA_zero["&amp;C77&amp;"]"</f>
        <v>OMEGA_zero[2]</v>
      </c>
      <c r="C91" s="5">
        <f>$A$17/C90</f>
        <v>2.3318757721122383</v>
      </c>
    </row>
    <row r="92" spans="2:7" hidden="1" x14ac:dyDescent="0.3">
      <c r="B92" s="4" t="str">
        <f>"OMEGA_pole["&amp;C77&amp;"]"</f>
        <v>OMEGA_pole[2]</v>
      </c>
      <c r="C92" s="5">
        <f>( $A$17*(  ($A$17*$A$55^2+C90^2)/($A$17+$A$55^2*C90^2)  )    )^0.5</f>
        <v>0.82344402794499438</v>
      </c>
    </row>
    <row r="93" spans="2:7" hidden="1" x14ac:dyDescent="0.3">
      <c r="B93" s="4" t="str">
        <f>"pole_Q["&amp;C77&amp;"]"</f>
        <v>pole_Q[2]</v>
      </c>
      <c r="C93" s="5">
        <f>0.5*$A$55^-1*($A$55^2+(C90^2*($A$17+$A$55^2)*(1+$A$17*$A$55^2))/((C90^2-$A$17^2)*(C90^2-1)))^0.5</f>
        <v>1.1434601492013372</v>
      </c>
    </row>
    <row r="94" spans="2:7" hidden="1" x14ac:dyDescent="0.3"/>
    <row r="95" spans="2:7" hidden="1" x14ac:dyDescent="0.3">
      <c r="B95" s="2" t="s">
        <v>64</v>
      </c>
      <c r="C95" s="3" t="str">
        <f>IF(OR(C77=$A$34,C77="not used"),"not used",C77+1)</f>
        <v>not used</v>
      </c>
    </row>
    <row r="96" spans="2:7" hidden="1" x14ac:dyDescent="0.3">
      <c r="B96" t="s">
        <v>67</v>
      </c>
      <c r="C96" t="s">
        <v>68</v>
      </c>
      <c r="D96" s="1" t="s">
        <v>58</v>
      </c>
      <c r="E96" s="1" t="s">
        <v>61</v>
      </c>
      <c r="F96" s="1" t="s">
        <v>58</v>
      </c>
      <c r="G96" s="1" t="s">
        <v>62</v>
      </c>
    </row>
    <row r="97" spans="2:7" hidden="1" x14ac:dyDescent="0.3">
      <c r="B97" t="e">
        <f>0.5+((2*C95-1)/(2*$A$33))</f>
        <v>#VALUE!</v>
      </c>
      <c r="C97">
        <f>EXP(-PI()*($D$31/$B$31))</f>
        <v>3.6670836058036324E-2</v>
      </c>
      <c r="D97" s="1">
        <v>1</v>
      </c>
      <c r="E97" s="1" t="e">
        <f>-1^D97*$C$97^(D97^2)*COS(2*D97*PI()*$B$97)</f>
        <v>#VALUE!</v>
      </c>
      <c r="F97">
        <v>0</v>
      </c>
      <c r="G97" s="1" t="e">
        <f>-1^F97*$C$97^(F97*(F97+1))*SIN((2*F97+1)*PI()*$B$97)</f>
        <v>#VALUE!</v>
      </c>
    </row>
    <row r="98" spans="2:7" hidden="1" x14ac:dyDescent="0.3">
      <c r="D98" s="1">
        <v>2</v>
      </c>
      <c r="E98" s="1" t="e">
        <f t="shared" ref="E98:E105" si="16">-1^D98*$C$97^(D98^2)*COS(2*D98*PI()*$B$97)</f>
        <v>#VALUE!</v>
      </c>
      <c r="F98">
        <v>1</v>
      </c>
      <c r="G98" s="1" t="e">
        <f t="shared" ref="G98:G105" si="17">-1^F98*$C$97^(F98*(F98+1))*SIN((2*F98+1)*PI()*$B$97)</f>
        <v>#VALUE!</v>
      </c>
    </row>
    <row r="99" spans="2:7" hidden="1" x14ac:dyDescent="0.3">
      <c r="D99" s="1">
        <v>3</v>
      </c>
      <c r="E99" s="1" t="e">
        <f t="shared" si="16"/>
        <v>#VALUE!</v>
      </c>
      <c r="F99">
        <v>2</v>
      </c>
      <c r="G99" s="1" t="e">
        <f t="shared" si="17"/>
        <v>#VALUE!</v>
      </c>
    </row>
    <row r="100" spans="2:7" hidden="1" x14ac:dyDescent="0.3">
      <c r="D100" s="1">
        <v>4</v>
      </c>
      <c r="E100" s="1" t="e">
        <f t="shared" si="16"/>
        <v>#VALUE!</v>
      </c>
      <c r="F100">
        <v>3</v>
      </c>
      <c r="G100" s="1" t="e">
        <f t="shared" si="17"/>
        <v>#VALUE!</v>
      </c>
    </row>
    <row r="101" spans="2:7" hidden="1" x14ac:dyDescent="0.3">
      <c r="D101" s="1">
        <v>5</v>
      </c>
      <c r="E101" s="1" t="e">
        <f t="shared" si="16"/>
        <v>#VALUE!</v>
      </c>
      <c r="F101">
        <v>4</v>
      </c>
      <c r="G101" s="1" t="e">
        <f t="shared" si="17"/>
        <v>#VALUE!</v>
      </c>
    </row>
    <row r="102" spans="2:7" hidden="1" x14ac:dyDescent="0.3">
      <c r="D102" s="1">
        <v>6</v>
      </c>
      <c r="E102" s="1" t="e">
        <f t="shared" si="16"/>
        <v>#VALUE!</v>
      </c>
      <c r="F102">
        <v>5</v>
      </c>
      <c r="G102" s="1" t="e">
        <f t="shared" si="17"/>
        <v>#VALUE!</v>
      </c>
    </row>
    <row r="103" spans="2:7" hidden="1" x14ac:dyDescent="0.3">
      <c r="D103" s="1">
        <v>7</v>
      </c>
      <c r="E103" s="1" t="e">
        <f t="shared" si="16"/>
        <v>#VALUE!</v>
      </c>
      <c r="F103">
        <v>6</v>
      </c>
      <c r="G103" s="1" t="e">
        <f t="shared" si="17"/>
        <v>#VALUE!</v>
      </c>
    </row>
    <row r="104" spans="2:7" hidden="1" x14ac:dyDescent="0.3">
      <c r="D104" s="1">
        <v>8</v>
      </c>
      <c r="E104" s="1" t="e">
        <f t="shared" si="16"/>
        <v>#VALUE!</v>
      </c>
      <c r="F104">
        <v>7</v>
      </c>
      <c r="G104" s="1" t="e">
        <f t="shared" si="17"/>
        <v>#VALUE!</v>
      </c>
    </row>
    <row r="105" spans="2:7" hidden="1" x14ac:dyDescent="0.3">
      <c r="D105" s="1">
        <v>9</v>
      </c>
      <c r="E105" s="1" t="e">
        <f t="shared" si="16"/>
        <v>#VALUE!</v>
      </c>
      <c r="F105">
        <v>8</v>
      </c>
      <c r="G105" s="1" t="e">
        <f t="shared" si="17"/>
        <v>#VALUE!</v>
      </c>
    </row>
    <row r="106" spans="2:7" hidden="1" x14ac:dyDescent="0.3">
      <c r="D106" s="2" t="s">
        <v>65</v>
      </c>
      <c r="E106" t="e">
        <f>1+2*SUM(E97:E105)</f>
        <v>#VALUE!</v>
      </c>
      <c r="F106" s="1"/>
    </row>
    <row r="107" spans="2:7" hidden="1" x14ac:dyDescent="0.3">
      <c r="D107" s="2" t="s">
        <v>66</v>
      </c>
      <c r="E107" t="e">
        <f>2*C97^0.25*SUM(G97:G105)</f>
        <v>#VALUE!</v>
      </c>
      <c r="F107" s="1"/>
    </row>
    <row r="108" spans="2:7" hidden="1" x14ac:dyDescent="0.3">
      <c r="B108" s="4" t="s">
        <v>63</v>
      </c>
      <c r="C108" t="e">
        <f>$A$22^-0.5*E107/E106</f>
        <v>#VALUE!</v>
      </c>
    </row>
    <row r="109" spans="2:7" hidden="1" x14ac:dyDescent="0.3">
      <c r="B109" s="4" t="str">
        <f>"OMEGA_zero["&amp;C95&amp;"]"</f>
        <v>OMEGA_zero[not used]</v>
      </c>
      <c r="C109" s="5" t="e">
        <f>$A$17/C108</f>
        <v>#VALUE!</v>
      </c>
    </row>
    <row r="110" spans="2:7" hidden="1" x14ac:dyDescent="0.3">
      <c r="B110" s="4" t="str">
        <f>"OMEGA_pole["&amp;C95&amp;"]"</f>
        <v>OMEGA_pole[not used]</v>
      </c>
      <c r="C110" s="5" t="e">
        <f>( $A$17*(  ($A$17*$A$55^2+C108^2)/($A$17+$A$55^2*C108^2)  )    )^0.5</f>
        <v>#VALUE!</v>
      </c>
    </row>
    <row r="111" spans="2:7" hidden="1" x14ac:dyDescent="0.3">
      <c r="B111" s="4" t="str">
        <f>"pole_Q["&amp;C95&amp;"]"</f>
        <v>pole_Q[not used]</v>
      </c>
      <c r="C111" s="5" t="e">
        <f>0.5*$A$55^-1*($A$55^2+(C108^2*($A$17+$A$55^2)*(1+$A$17*$A$55^2))/((C108^2-$A$17^2)*(C108^2-1)))^0.5</f>
        <v>#VALUE!</v>
      </c>
    </row>
    <row r="112" spans="2:7" hidden="1" x14ac:dyDescent="0.3"/>
    <row r="113" spans="2:7" hidden="1" x14ac:dyDescent="0.3">
      <c r="B113" s="2" t="s">
        <v>64</v>
      </c>
      <c r="C113" s="3" t="str">
        <f>IF(OR(C95=$A$34,C95="not used"),"not used",C95+1)</f>
        <v>not used</v>
      </c>
    </row>
    <row r="114" spans="2:7" hidden="1" x14ac:dyDescent="0.3">
      <c r="B114" t="s">
        <v>67</v>
      </c>
      <c r="C114" t="s">
        <v>68</v>
      </c>
      <c r="D114" s="1" t="s">
        <v>58</v>
      </c>
      <c r="E114" s="1" t="s">
        <v>61</v>
      </c>
      <c r="F114" s="1" t="s">
        <v>58</v>
      </c>
      <c r="G114" s="1" t="s">
        <v>62</v>
      </c>
    </row>
    <row r="115" spans="2:7" hidden="1" x14ac:dyDescent="0.3">
      <c r="B115" t="e">
        <f>0.5+((2*C113-1)/(2*$A$33))</f>
        <v>#VALUE!</v>
      </c>
      <c r="C115">
        <f>EXP(-PI()*($D$31/$B$31))</f>
        <v>3.6670836058036324E-2</v>
      </c>
      <c r="D115" s="1">
        <v>1</v>
      </c>
      <c r="E115" s="1" t="e">
        <f>-1^D115*$C$115^(D115^2)*COS(2*D115*PI()*$B$115)</f>
        <v>#VALUE!</v>
      </c>
      <c r="F115" s="1">
        <v>0</v>
      </c>
      <c r="G115" s="1" t="e">
        <f>-1^F115*$C$115^(F115*(F115+1))*SIN((2*F115+1)*PI()*$B$115)</f>
        <v>#VALUE!</v>
      </c>
    </row>
    <row r="116" spans="2:7" hidden="1" x14ac:dyDescent="0.3">
      <c r="D116" s="1">
        <v>2</v>
      </c>
      <c r="E116" s="1" t="e">
        <f t="shared" ref="E116:E123" si="18">-1^D116*$C$115^(D116^2)*COS(2*D116*PI()*$B$115)</f>
        <v>#VALUE!</v>
      </c>
      <c r="F116" s="1">
        <v>1</v>
      </c>
      <c r="G116" s="1" t="e">
        <f t="shared" ref="G116:G123" si="19">-1^F116*$C$115^(F116*(F116+1))*SIN((2*F116+1)*PI()*$B$115)</f>
        <v>#VALUE!</v>
      </c>
    </row>
    <row r="117" spans="2:7" hidden="1" x14ac:dyDescent="0.3">
      <c r="D117" s="1">
        <v>3</v>
      </c>
      <c r="E117" s="1" t="e">
        <f t="shared" si="18"/>
        <v>#VALUE!</v>
      </c>
      <c r="F117" s="1">
        <v>2</v>
      </c>
      <c r="G117" s="1" t="e">
        <f t="shared" si="19"/>
        <v>#VALUE!</v>
      </c>
    </row>
    <row r="118" spans="2:7" hidden="1" x14ac:dyDescent="0.3">
      <c r="D118" s="1">
        <v>4</v>
      </c>
      <c r="E118" s="1" t="e">
        <f t="shared" si="18"/>
        <v>#VALUE!</v>
      </c>
      <c r="F118" s="1">
        <v>3</v>
      </c>
      <c r="G118" s="1" t="e">
        <f t="shared" si="19"/>
        <v>#VALUE!</v>
      </c>
    </row>
    <row r="119" spans="2:7" hidden="1" x14ac:dyDescent="0.3">
      <c r="D119" s="1">
        <v>5</v>
      </c>
      <c r="E119" s="1" t="e">
        <f t="shared" si="18"/>
        <v>#VALUE!</v>
      </c>
      <c r="F119" s="1">
        <v>4</v>
      </c>
      <c r="G119" s="1" t="e">
        <f t="shared" si="19"/>
        <v>#VALUE!</v>
      </c>
    </row>
    <row r="120" spans="2:7" hidden="1" x14ac:dyDescent="0.3">
      <c r="D120" s="1">
        <v>6</v>
      </c>
      <c r="E120" s="1" t="e">
        <f t="shared" si="18"/>
        <v>#VALUE!</v>
      </c>
      <c r="F120" s="1">
        <v>5</v>
      </c>
      <c r="G120" s="1" t="e">
        <f t="shared" si="19"/>
        <v>#VALUE!</v>
      </c>
    </row>
    <row r="121" spans="2:7" hidden="1" x14ac:dyDescent="0.3">
      <c r="D121" s="1">
        <v>7</v>
      </c>
      <c r="E121" s="1" t="e">
        <f t="shared" si="18"/>
        <v>#VALUE!</v>
      </c>
      <c r="F121" s="1">
        <v>6</v>
      </c>
      <c r="G121" s="1" t="e">
        <f t="shared" si="19"/>
        <v>#VALUE!</v>
      </c>
    </row>
    <row r="122" spans="2:7" hidden="1" x14ac:dyDescent="0.3">
      <c r="D122" s="1">
        <v>8</v>
      </c>
      <c r="E122" s="1" t="e">
        <f t="shared" si="18"/>
        <v>#VALUE!</v>
      </c>
      <c r="F122" s="1">
        <v>7</v>
      </c>
      <c r="G122" s="1" t="e">
        <f t="shared" si="19"/>
        <v>#VALUE!</v>
      </c>
    </row>
    <row r="123" spans="2:7" hidden="1" x14ac:dyDescent="0.3">
      <c r="D123" s="1">
        <v>9</v>
      </c>
      <c r="E123" s="1" t="e">
        <f t="shared" si="18"/>
        <v>#VALUE!</v>
      </c>
      <c r="F123" s="1">
        <v>8</v>
      </c>
      <c r="G123" s="1" t="e">
        <f t="shared" si="19"/>
        <v>#VALUE!</v>
      </c>
    </row>
    <row r="124" spans="2:7" hidden="1" x14ac:dyDescent="0.3">
      <c r="D124" s="2" t="s">
        <v>65</v>
      </c>
      <c r="E124" t="e">
        <f>1+2*SUM(E115:E123)</f>
        <v>#VALUE!</v>
      </c>
      <c r="F124" s="1"/>
    </row>
    <row r="125" spans="2:7" hidden="1" x14ac:dyDescent="0.3">
      <c r="D125" s="2" t="s">
        <v>66</v>
      </c>
      <c r="E125" t="e">
        <f>2*C115^0.25*SUM(G115:G123)</f>
        <v>#VALUE!</v>
      </c>
      <c r="F125" s="1"/>
    </row>
    <row r="126" spans="2:7" hidden="1" x14ac:dyDescent="0.3">
      <c r="B126" s="4" t="s">
        <v>63</v>
      </c>
      <c r="C126" t="e">
        <f>$A$22^-0.5*E125/E124</f>
        <v>#VALUE!</v>
      </c>
    </row>
    <row r="127" spans="2:7" hidden="1" x14ac:dyDescent="0.3">
      <c r="B127" s="4" t="str">
        <f>"OMEGA_zero["&amp;C113&amp;"]"</f>
        <v>OMEGA_zero[not used]</v>
      </c>
      <c r="C127" s="5" t="e">
        <f>$A$17/C126</f>
        <v>#VALUE!</v>
      </c>
    </row>
    <row r="128" spans="2:7" hidden="1" x14ac:dyDescent="0.3">
      <c r="B128" s="4" t="str">
        <f>"OMEGA_pole["&amp;C113&amp;"]"</f>
        <v>OMEGA_pole[not used]</v>
      </c>
      <c r="C128" s="5" t="e">
        <f>( $A$17*(  ($A$17*$A$55^2+C126^2)/($A$17+$A$55^2*C126^2)  )    )^0.5</f>
        <v>#VALUE!</v>
      </c>
    </row>
    <row r="129" spans="2:7" hidden="1" x14ac:dyDescent="0.3">
      <c r="B129" s="4" t="str">
        <f>"pole_Q["&amp;C113&amp;"]"</f>
        <v>pole_Q[not used]</v>
      </c>
      <c r="C129" s="5" t="e">
        <f>0.5*$A$55^-1*($A$55^2+(C126^2*($A$17+$A$55^2)*(1+$A$17*$A$55^2))/((C126^2-$A$17^2)*(C126^2-1)))^0.5</f>
        <v>#VALUE!</v>
      </c>
    </row>
    <row r="130" spans="2:7" hidden="1" x14ac:dyDescent="0.3"/>
    <row r="131" spans="2:7" hidden="1" x14ac:dyDescent="0.3">
      <c r="B131" s="2" t="s">
        <v>64</v>
      </c>
      <c r="C131" s="3" t="str">
        <f>IF(OR(C113=$A$34,C113="not used"),"not used",C113+1)</f>
        <v>not used</v>
      </c>
    </row>
    <row r="132" spans="2:7" hidden="1" x14ac:dyDescent="0.3">
      <c r="B132" t="s">
        <v>67</v>
      </c>
      <c r="C132" t="s">
        <v>68</v>
      </c>
      <c r="D132" s="1" t="s">
        <v>58</v>
      </c>
      <c r="E132" s="1" t="s">
        <v>61</v>
      </c>
      <c r="F132" s="1" t="s">
        <v>58</v>
      </c>
      <c r="G132" s="1" t="s">
        <v>62</v>
      </c>
    </row>
    <row r="133" spans="2:7" hidden="1" x14ac:dyDescent="0.3">
      <c r="B133" t="e">
        <f>0.5+((2*C131-1)/(2*$A$33))</f>
        <v>#VALUE!</v>
      </c>
      <c r="C133">
        <f>EXP(-PI()*($D$31/$B$31))</f>
        <v>3.6670836058036324E-2</v>
      </c>
      <c r="D133" s="1">
        <v>1</v>
      </c>
      <c r="E133" s="1" t="e">
        <f>-1^D133*$C$133^(D133^2)*COS(2*D133*PI()*$B$133)</f>
        <v>#VALUE!</v>
      </c>
      <c r="F133" s="1">
        <v>0</v>
      </c>
      <c r="G133" s="1" t="e">
        <f>-1^F133*$C$133^(F133*(F133+1))*SIN((2*F133+1)*PI()*$B$133)</f>
        <v>#VALUE!</v>
      </c>
    </row>
    <row r="134" spans="2:7" hidden="1" x14ac:dyDescent="0.3">
      <c r="D134" s="1">
        <v>2</v>
      </c>
      <c r="E134" s="1" t="e">
        <f t="shared" ref="E134:E141" si="20">-1^D134*$C$133^(D134^2)*COS(2*D134*PI()*$B$133)</f>
        <v>#VALUE!</v>
      </c>
      <c r="F134" s="1">
        <v>1</v>
      </c>
      <c r="G134" s="1" t="e">
        <f t="shared" ref="G134:G141" si="21">-1^F134*$C$133^(F134*(F134+1))*SIN((2*F134+1)*PI()*$B$133)</f>
        <v>#VALUE!</v>
      </c>
    </row>
    <row r="135" spans="2:7" hidden="1" x14ac:dyDescent="0.3">
      <c r="D135" s="1">
        <v>3</v>
      </c>
      <c r="E135" s="1" t="e">
        <f t="shared" si="20"/>
        <v>#VALUE!</v>
      </c>
      <c r="F135" s="1">
        <v>2</v>
      </c>
      <c r="G135" s="1" t="e">
        <f t="shared" si="21"/>
        <v>#VALUE!</v>
      </c>
    </row>
    <row r="136" spans="2:7" hidden="1" x14ac:dyDescent="0.3">
      <c r="D136" s="1">
        <v>4</v>
      </c>
      <c r="E136" s="1" t="e">
        <f t="shared" si="20"/>
        <v>#VALUE!</v>
      </c>
      <c r="F136" s="1">
        <v>3</v>
      </c>
      <c r="G136" s="1" t="e">
        <f t="shared" si="21"/>
        <v>#VALUE!</v>
      </c>
    </row>
    <row r="137" spans="2:7" hidden="1" x14ac:dyDescent="0.3">
      <c r="D137" s="1">
        <v>5</v>
      </c>
      <c r="E137" s="1" t="e">
        <f t="shared" si="20"/>
        <v>#VALUE!</v>
      </c>
      <c r="F137" s="1">
        <v>4</v>
      </c>
      <c r="G137" s="1" t="e">
        <f t="shared" si="21"/>
        <v>#VALUE!</v>
      </c>
    </row>
    <row r="138" spans="2:7" hidden="1" x14ac:dyDescent="0.3">
      <c r="D138" s="1">
        <v>6</v>
      </c>
      <c r="E138" s="1" t="e">
        <f t="shared" si="20"/>
        <v>#VALUE!</v>
      </c>
      <c r="F138" s="1">
        <v>5</v>
      </c>
      <c r="G138" s="1" t="e">
        <f t="shared" si="21"/>
        <v>#VALUE!</v>
      </c>
    </row>
    <row r="139" spans="2:7" hidden="1" x14ac:dyDescent="0.3">
      <c r="D139" s="1">
        <v>7</v>
      </c>
      <c r="E139" s="1" t="e">
        <f t="shared" si="20"/>
        <v>#VALUE!</v>
      </c>
      <c r="F139" s="1">
        <v>6</v>
      </c>
      <c r="G139" s="1" t="e">
        <f t="shared" si="21"/>
        <v>#VALUE!</v>
      </c>
    </row>
    <row r="140" spans="2:7" hidden="1" x14ac:dyDescent="0.3">
      <c r="D140" s="1">
        <v>8</v>
      </c>
      <c r="E140" s="1" t="e">
        <f t="shared" si="20"/>
        <v>#VALUE!</v>
      </c>
      <c r="F140" s="1">
        <v>7</v>
      </c>
      <c r="G140" s="1" t="e">
        <f t="shared" si="21"/>
        <v>#VALUE!</v>
      </c>
    </row>
    <row r="141" spans="2:7" hidden="1" x14ac:dyDescent="0.3">
      <c r="D141" s="1">
        <v>9</v>
      </c>
      <c r="E141" s="1" t="e">
        <f t="shared" si="20"/>
        <v>#VALUE!</v>
      </c>
      <c r="F141" s="1">
        <v>8</v>
      </c>
      <c r="G141" s="1" t="e">
        <f t="shared" si="21"/>
        <v>#VALUE!</v>
      </c>
    </row>
    <row r="142" spans="2:7" hidden="1" x14ac:dyDescent="0.3">
      <c r="D142" s="2" t="s">
        <v>65</v>
      </c>
      <c r="E142" t="e">
        <f>1+2*SUM(E133:E141)</f>
        <v>#VALUE!</v>
      </c>
      <c r="F142" s="1"/>
    </row>
    <row r="143" spans="2:7" hidden="1" x14ac:dyDescent="0.3">
      <c r="D143" s="2" t="s">
        <v>66</v>
      </c>
      <c r="E143" t="e">
        <f>2*C133^0.25*SUM(G133:G141)</f>
        <v>#VALUE!</v>
      </c>
      <c r="F143" s="1"/>
    </row>
    <row r="144" spans="2:7" hidden="1" x14ac:dyDescent="0.3">
      <c r="B144" s="4" t="s">
        <v>63</v>
      </c>
      <c r="C144" t="e">
        <f>$A$22^-0.5*E143/E142</f>
        <v>#VALUE!</v>
      </c>
    </row>
    <row r="145" spans="2:7" hidden="1" x14ac:dyDescent="0.3">
      <c r="B145" s="4" t="str">
        <f>"OMEGA_zero["&amp;C131&amp;"]"</f>
        <v>OMEGA_zero[not used]</v>
      </c>
      <c r="C145" s="5" t="e">
        <f>$A$17/C144</f>
        <v>#VALUE!</v>
      </c>
    </row>
    <row r="146" spans="2:7" hidden="1" x14ac:dyDescent="0.3">
      <c r="B146" s="4" t="str">
        <f>"OMEGA_pole["&amp;C131&amp;"]"</f>
        <v>OMEGA_pole[not used]</v>
      </c>
      <c r="C146" s="5" t="e">
        <f>( $A$17*(  ($A$17*$A$55^2+C144^2)/($A$17+$A$55^2*C144^2)  )    )^0.5</f>
        <v>#VALUE!</v>
      </c>
    </row>
    <row r="147" spans="2:7" hidden="1" x14ac:dyDescent="0.3">
      <c r="B147" s="4" t="str">
        <f>"pole_Q["&amp;C131&amp;"]"</f>
        <v>pole_Q[not used]</v>
      </c>
      <c r="C147" s="5" t="e">
        <f>0.5*$A$55^-1*($A$55^2+(C144^2*($A$17+$A$55^2)*(1+$A$17*$A$55^2))/((C144^2-$A$17^2)*(C144^2-1)))^0.5</f>
        <v>#VALUE!</v>
      </c>
    </row>
    <row r="148" spans="2:7" hidden="1" x14ac:dyDescent="0.3"/>
    <row r="149" spans="2:7" hidden="1" x14ac:dyDescent="0.3"/>
    <row r="152" spans="2:7" ht="15" thickBot="1" x14ac:dyDescent="0.35"/>
    <row r="153" spans="2:7" x14ac:dyDescent="0.3">
      <c r="B153" s="37" t="str">
        <f>"Normalized Values for the LP Elliptic Filter of Order = "&amp;A33</f>
        <v>Normalized Values for the LP Elliptic Filter of Order = 5</v>
      </c>
      <c r="C153" s="38"/>
      <c r="D153" s="38"/>
      <c r="E153" s="38"/>
      <c r="F153" s="38"/>
      <c r="G153" s="39"/>
    </row>
    <row r="154" spans="2:7" ht="15" thickBot="1" x14ac:dyDescent="0.35">
      <c r="B154" s="40"/>
      <c r="C154" s="41"/>
      <c r="D154" s="41"/>
      <c r="E154" s="41"/>
      <c r="F154" s="41"/>
      <c r="G154" s="42"/>
    </row>
    <row r="155" spans="2:7" x14ac:dyDescent="0.3">
      <c r="B155" s="6"/>
      <c r="G155" s="7"/>
    </row>
    <row r="156" spans="2:7" ht="15" thickBot="1" x14ac:dyDescent="0.35">
      <c r="B156" s="6"/>
      <c r="C156" t="s">
        <v>76</v>
      </c>
      <c r="G156" s="7"/>
    </row>
    <row r="157" spans="2:7" ht="15.6" thickTop="1" thickBot="1" x14ac:dyDescent="0.35">
      <c r="B157" s="6"/>
      <c r="D157" s="4" t="s">
        <v>77</v>
      </c>
      <c r="E157" s="32">
        <f>IF(ISODD(A33), A55*A17^0.5,"not used")</f>
        <v>0.54947933909282487</v>
      </c>
      <c r="G157" s="7"/>
    </row>
    <row r="158" spans="2:7" ht="15" thickTop="1" x14ac:dyDescent="0.3">
      <c r="B158" s="6"/>
      <c r="C158" t="s">
        <v>89</v>
      </c>
      <c r="G158" s="7"/>
    </row>
    <row r="159" spans="2:7" ht="15" thickBot="1" x14ac:dyDescent="0.35">
      <c r="B159" s="6"/>
      <c r="C159" s="30" t="s">
        <v>72</v>
      </c>
      <c r="D159" s="31" t="s">
        <v>74</v>
      </c>
      <c r="E159" s="31" t="s">
        <v>73</v>
      </c>
      <c r="F159" s="31" t="s">
        <v>75</v>
      </c>
      <c r="G159" s="7"/>
    </row>
    <row r="160" spans="2:7" ht="15.6" thickTop="1" thickBot="1" x14ac:dyDescent="0.35">
      <c r="B160" s="6"/>
      <c r="C160" s="27">
        <v>1</v>
      </c>
      <c r="D160" s="28">
        <f>IFERROR(VLOOKUP("OMEGA_zero["&amp;C160&amp;"]",B73:C150,2,FALSE),"not found")</f>
        <v>1.5574063908278593</v>
      </c>
      <c r="E160" s="29">
        <f>IFERROR(VLOOKUP("OMEGA_pole["&amp;C160&amp;"]",B73:C150,2,FALSE),"not found")</f>
        <v>1.0456829986642902</v>
      </c>
      <c r="F160" s="29">
        <f>IFERROR(VLOOKUP("pole_Q["&amp;C160&amp;"]",B73:C150,2,FALSE),"not found")</f>
        <v>5.1883789714980528</v>
      </c>
      <c r="G160" s="7"/>
    </row>
    <row r="161" spans="2:7" ht="15.6" thickTop="1" thickBot="1" x14ac:dyDescent="0.35">
      <c r="B161" s="6"/>
      <c r="C161" s="27">
        <f>IF(OR(C160=$A$34,C160=""),"",C160+1)</f>
        <v>2</v>
      </c>
      <c r="D161" s="26">
        <f t="shared" ref="D161" si="22">IFERROR(VLOOKUP("OMEGA_zero["&amp;C161&amp;"]",B74:C150,2,FALSE),"")</f>
        <v>2.3318757721122383</v>
      </c>
      <c r="E161" s="25">
        <f t="shared" ref="E161" si="23">IFERROR(VLOOKUP("OMEGA_pole["&amp;C161&amp;"]",B74:C150,2,FALSE),"")</f>
        <v>0.82344402794499438</v>
      </c>
      <c r="F161" s="25">
        <f t="shared" ref="F161" si="24">IFERROR(VLOOKUP("pole_Q["&amp;C161&amp;"]",B74:C150,2,FALSE),"")</f>
        <v>1.1434601492013372</v>
      </c>
      <c r="G161" s="7"/>
    </row>
    <row r="162" spans="2:7" ht="15.6" thickTop="1" thickBot="1" x14ac:dyDescent="0.35">
      <c r="B162" s="6"/>
      <c r="C162" s="27" t="str">
        <f>IF(OR(C161=$A$34,C161=""),"",C161+1)</f>
        <v/>
      </c>
      <c r="D162" s="26" t="str">
        <f>IFERROR(VLOOKUP("OMEGA_zero["&amp;C162&amp;"]",B75:C151,2,FALSE),"")</f>
        <v/>
      </c>
      <c r="E162" s="25" t="str">
        <f>IFERROR(VLOOKUP("OMEGA_pole["&amp;C162&amp;"]",B75:C151,2,FALSE),"")</f>
        <v/>
      </c>
      <c r="F162" s="25" t="str">
        <f>IFERROR(VLOOKUP("pole_Q["&amp;C162&amp;"]",B75:C151,2,FALSE),"")</f>
        <v/>
      </c>
      <c r="G162" s="7"/>
    </row>
    <row r="163" spans="2:7" ht="15.6" thickTop="1" thickBot="1" x14ac:dyDescent="0.35">
      <c r="B163" s="6"/>
      <c r="C163" s="27" t="str">
        <f>IF(OR(C162=$A$34,C162=""),"",C162+1)</f>
        <v/>
      </c>
      <c r="D163" s="26" t="str">
        <f t="shared" ref="D163:D164" si="25">IFERROR(VLOOKUP("OMEGA_zero["&amp;C163&amp;"]",B76:C152,2,FALSE),"")</f>
        <v/>
      </c>
      <c r="E163" s="25" t="str">
        <f t="shared" ref="E163:E164" si="26">IFERROR(VLOOKUP("OMEGA_pole["&amp;C163&amp;"]",B76:C152,2,FALSE),"")</f>
        <v/>
      </c>
      <c r="F163" s="25" t="str">
        <f t="shared" ref="F163:F164" si="27">IFERROR(VLOOKUP("pole_Q["&amp;C163&amp;"]",B76:C152,2,FALSE),"")</f>
        <v/>
      </c>
      <c r="G163" s="7"/>
    </row>
    <row r="164" spans="2:7" ht="15.6" thickTop="1" thickBot="1" x14ac:dyDescent="0.35">
      <c r="B164" s="6"/>
      <c r="C164" s="27" t="str">
        <f>IF(OR(C163=$A$34,C163=""),"",C163+1)</f>
        <v/>
      </c>
      <c r="D164" s="26" t="str">
        <f t="shared" si="25"/>
        <v/>
      </c>
      <c r="E164" s="25" t="str">
        <f t="shared" si="26"/>
        <v/>
      </c>
      <c r="F164" s="25" t="str">
        <f t="shared" si="27"/>
        <v/>
      </c>
      <c r="G164" s="7"/>
    </row>
    <row r="165" spans="2:7" ht="15.6" thickTop="1" thickBot="1" x14ac:dyDescent="0.35">
      <c r="B165" s="8"/>
      <c r="C165" s="9"/>
      <c r="D165" s="9"/>
      <c r="E165" s="9"/>
      <c r="F165" s="9"/>
      <c r="G165" s="10"/>
    </row>
    <row r="168" spans="2:7" x14ac:dyDescent="0.3">
      <c r="B168" s="14" t="s">
        <v>93</v>
      </c>
    </row>
    <row r="169" spans="2:7" x14ac:dyDescent="0.3">
      <c r="B169" s="34" t="s">
        <v>94</v>
      </c>
    </row>
    <row r="170" spans="2:7" x14ac:dyDescent="0.3">
      <c r="B170" s="34" t="s">
        <v>95</v>
      </c>
    </row>
    <row r="171" spans="2:7" x14ac:dyDescent="0.3">
      <c r="B171" s="35" t="s">
        <v>96</v>
      </c>
    </row>
  </sheetData>
  <mergeCells count="3">
    <mergeCell ref="N23:W24"/>
    <mergeCell ref="B153:G154"/>
    <mergeCell ref="A2:I2"/>
  </mergeCells>
  <conditionalFormatting sqref="D160:F160">
    <cfRule type="expression" dxfId="5" priority="5">
      <formula>ISNUMBER($D$160)</formula>
    </cfRule>
  </conditionalFormatting>
  <conditionalFormatting sqref="D161:F161">
    <cfRule type="expression" dxfId="4" priority="4">
      <formula>ISNUMBER($D$161)</formula>
    </cfRule>
  </conditionalFormatting>
  <conditionalFormatting sqref="D162:F162">
    <cfRule type="expression" dxfId="3" priority="3">
      <formula>ISNUMBER($D$162)</formula>
    </cfRule>
  </conditionalFormatting>
  <conditionalFormatting sqref="D163:F163">
    <cfRule type="expression" dxfId="2" priority="2">
      <formula>ISNUMBER($D$163)</formula>
    </cfRule>
  </conditionalFormatting>
  <conditionalFormatting sqref="D164:F164">
    <cfRule type="expression" dxfId="1" priority="1">
      <formula>ISNUMBER($D$164)</formula>
    </cfRule>
  </conditionalFormatting>
  <conditionalFormatting sqref="E157">
    <cfRule type="expression" dxfId="0" priority="6">
      <formula>ISNUMBER($E$157)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2023-10-26T14:19:27Z</dcterms:created>
  <dcterms:modified xsi:type="dcterms:W3CDTF">2023-10-26T14:19:45Z</dcterms:modified>
</cp:coreProperties>
</file>